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05" yWindow="-105" windowWidth="23250" windowHeight="12570"/>
  </bookViews>
  <sheets>
    <sheet name="POTRAŽIVANJA " sheetId="1" r:id="rId1"/>
  </sheets>
  <definedNames>
    <definedName name="_xlnm._FilterDatabase" localSheetId="0" hidden="1">'POTRAŽIVANJA '!$A$2:$N$2</definedName>
    <definedName name="_xlnm.Print_Area" localSheetId="0">'POTRAŽIVANJA '!$A$1:$N$55</definedName>
    <definedName name="_xlnm.Print_Titles" localSheetId="0">'POTRAŽIVANJA '!$2:$3</definedName>
    <definedName name="Z_0104055D_4F86_418B_A092_43076E5DAB68_.wvu.FilterData" localSheetId="0" hidden="1">'POTRAŽIVANJA '!$A$2:$N$2</definedName>
    <definedName name="Z_03445B5C_49D0_440B_BC0D_86CAF9BBA1EB_.wvu.Cols" localSheetId="0" hidden="1">'POTRAŽIVANJA '!#REF!,'POTRAŽIVANJA '!#REF!</definedName>
    <definedName name="Z_03445B5C_49D0_440B_BC0D_86CAF9BBA1EB_.wvu.FilterData" localSheetId="0" hidden="1">'POTRAŽIVANJA '!$A$2:$N$2</definedName>
    <definedName name="Z_03445B5C_49D0_440B_BC0D_86CAF9BBA1EB_.wvu.PrintArea" localSheetId="0" hidden="1">'POTRAŽIVANJA '!$A$1:$N$55</definedName>
    <definedName name="Z_03445B5C_49D0_440B_BC0D_86CAF9BBA1EB_.wvu.PrintTitles" localSheetId="0" hidden="1">'POTRAŽIVANJA '!$2:$3</definedName>
    <definedName name="Z_0A3FC11F_8BD3_4FB4_AED3_E6B3C53DF8B6_.wvu.FilterData" localSheetId="0" hidden="1">'POTRAŽIVANJA '!$A$2:$N$2</definedName>
    <definedName name="Z_1285AB19_9522_4B0A_BEC0_749BF7FEE887_.wvu.Cols" localSheetId="0" hidden="1">'POTRAŽIVANJA '!#REF!</definedName>
    <definedName name="Z_1285AB19_9522_4B0A_BEC0_749BF7FEE887_.wvu.FilterData" localSheetId="0" hidden="1">'POTRAŽIVANJA '!$A$2:$N$2</definedName>
    <definedName name="Z_1285AB19_9522_4B0A_BEC0_749BF7FEE887_.wvu.PrintArea" localSheetId="0" hidden="1">'POTRAŽIVANJA '!$A$1:$N$55</definedName>
    <definedName name="Z_1285AB19_9522_4B0A_BEC0_749BF7FEE887_.wvu.PrintTitles" localSheetId="0" hidden="1">'POTRAŽIVANJA '!$2:$3</definedName>
    <definedName name="Z_1C6BE7DE_D2D0_40FF_A180_01CCB7FF2580_.wvu.Cols" localSheetId="0" hidden="1">'POTRAŽIVANJA '!#REF!,'POTRAŽIVANJA '!#REF!,'POTRAŽIVANJA '!#REF!</definedName>
    <definedName name="Z_1C6BE7DE_D2D0_40FF_A180_01CCB7FF2580_.wvu.FilterData" localSheetId="0" hidden="1">'POTRAŽIVANJA '!$A$2:$N$2</definedName>
    <definedName name="Z_1C6BE7DE_D2D0_40FF_A180_01CCB7FF2580_.wvu.PrintArea" localSheetId="0" hidden="1">'POTRAŽIVANJA '!$A$1:$N$55</definedName>
    <definedName name="Z_1C6BE7DE_D2D0_40FF_A180_01CCB7FF2580_.wvu.PrintTitles" localSheetId="0" hidden="1">'POTRAŽIVANJA '!$2:$3</definedName>
    <definedName name="Z_1DA93417_905B_41CD_AC99_CCBBC2B535C0_.wvu.FilterData" localSheetId="0" hidden="1">'POTRAŽIVANJA '!$A$2:$N$2</definedName>
    <definedName name="Z_262564CE_2687_4613_ABE5_2D314BEBF817_.wvu.FilterData" localSheetId="0" hidden="1">'POTRAŽIVANJA '!$A$2:$N$2</definedName>
    <definedName name="Z_287BB99E_4494_4C80_9BF5_A16ED9F406F9_.wvu.Cols" localSheetId="0" hidden="1">'POTRAŽIVANJA '!#REF!,'POTRAŽIVANJA '!#REF!</definedName>
    <definedName name="Z_287BB99E_4494_4C80_9BF5_A16ED9F406F9_.wvu.FilterData" localSheetId="0" hidden="1">'POTRAŽIVANJA '!$A$2:$N$2</definedName>
    <definedName name="Z_287BB99E_4494_4C80_9BF5_A16ED9F406F9_.wvu.PrintArea" localSheetId="0" hidden="1">'POTRAŽIVANJA '!$A$1:$N$55</definedName>
    <definedName name="Z_287BB99E_4494_4C80_9BF5_A16ED9F406F9_.wvu.PrintTitles" localSheetId="0" hidden="1">'POTRAŽIVANJA '!$2:$3</definedName>
    <definedName name="Z_39A49891_94B4_414B_A9AD_C01B17B74E79_.wvu.Cols" localSheetId="0" hidden="1">'POTRAŽIVANJA '!#REF!,'POTRAŽIVANJA '!#REF!</definedName>
    <definedName name="Z_39A49891_94B4_414B_A9AD_C01B17B74E79_.wvu.FilterData" localSheetId="0" hidden="1">'POTRAŽIVANJA '!$A$2:$N$2</definedName>
    <definedName name="Z_39A49891_94B4_414B_A9AD_C01B17B74E79_.wvu.PrintArea" localSheetId="0" hidden="1">'POTRAŽIVANJA '!$A$1:$N$55</definedName>
    <definedName name="Z_39A49891_94B4_414B_A9AD_C01B17B74E79_.wvu.PrintTitles" localSheetId="0" hidden="1">'POTRAŽIVANJA '!$2:$3</definedName>
    <definedName name="Z_39B00C26_8CFC_412B_9BE2_DA412E23708F_.wvu.FilterData" localSheetId="0" hidden="1">'POTRAŽIVANJA '!$A$2:$N$2</definedName>
    <definedName name="Z_4B0B6631_6659_4355_B2D5_A2D4E589B09D_.wvu.FilterData" localSheetId="0" hidden="1">'POTRAŽIVANJA '!$A$2:$N$2</definedName>
    <definedName name="Z_4C3A2165_2CD6_4DA0_A63C_CCAADA037260_.wvu.FilterData" localSheetId="0" hidden="1">'POTRAŽIVANJA '!$A$2:$N$2</definedName>
    <definedName name="Z_4F436F5E_397A_47A2_806E_F3484E3158AB_.wvu.FilterData" localSheetId="0" hidden="1">'POTRAŽIVANJA '!$A$2:$N$2</definedName>
    <definedName name="Z_57242146_31A6_40EB_88F2_E4693567316F_.wvu.FilterData" localSheetId="0" hidden="1">'POTRAŽIVANJA '!$A$2:$N$2</definedName>
    <definedName name="Z_69C9F101_52CF_453D_A718_3D5CFF44C284_.wvu.FilterData" localSheetId="0" hidden="1">'POTRAŽIVANJA '!$A$2:$N$2</definedName>
    <definedName name="Z_6A72E99D_97AF_4CDF_8734_D3BD6927719C_.wvu.FilterData" localSheetId="0" hidden="1">'POTRAŽIVANJA '!$A$2:$N$2</definedName>
    <definedName name="Z_6BEA5760_B5C1_440F_894D_9BA184D9228C_.wvu.FilterData" localSheetId="0" hidden="1">'POTRAŽIVANJA '!$A$2:$N$2</definedName>
    <definedName name="Z_6C5545EE_576C_4DE7_9249_27B326B008BF_.wvu.FilterData" localSheetId="0" hidden="1">'POTRAŽIVANJA '!$A$2:$N$2</definedName>
    <definedName name="Z_73FDEF46_0CD4_43F5_8459_3122D65158EC_.wvu.FilterData" localSheetId="0" hidden="1">'POTRAŽIVANJA '!$A$2:$N$2</definedName>
    <definedName name="Z_796CC579_20C1_45F7_888A_DC7F1BA10AA8_.wvu.FilterData" localSheetId="0" hidden="1">'POTRAŽIVANJA '!$A$2:$N$2</definedName>
    <definedName name="Z_802D023E_FDC7_4E6D_A65F_8F29BC86F961_.wvu.FilterData" localSheetId="0" hidden="1">'POTRAŽIVANJA '!$A$2:$N$2</definedName>
    <definedName name="Z_8A729B9F_3337_4071_951E_CA86BAEE6893_.wvu.FilterData" localSheetId="0" hidden="1">'POTRAŽIVANJA '!$A$2:$N$2</definedName>
    <definedName name="Z_972E8E52_169D_4E32_815F_7150F4E4E164_.wvu.FilterData" localSheetId="0" hidden="1">'POTRAŽIVANJA '!$A$2:$N$2</definedName>
    <definedName name="Z_9BFBF61C_DBA2_4EC4_9A5E_913A5B6BF06E_.wvu.FilterData" localSheetId="0" hidden="1">'POTRAŽIVANJA '!$A$2:$N$2</definedName>
    <definedName name="Z_A59F6773_5C54_49F5_8494_4E00ACC21610_.wvu.FilterData" localSheetId="0" hidden="1">'POTRAŽIVANJA '!$A$2:$N$2</definedName>
    <definedName name="Z_B1D981AC_BF34_4C8C_9AD3_B7F961F3C03B_.wvu.Cols" localSheetId="0" hidden="1">'POTRAŽIVANJA '!#REF!,'POTRAŽIVANJA '!#REF!</definedName>
    <definedName name="Z_B1D981AC_BF34_4C8C_9AD3_B7F961F3C03B_.wvu.FilterData" localSheetId="0" hidden="1">'POTRAŽIVANJA '!$A$2:$N$2</definedName>
    <definedName name="Z_B1D981AC_BF34_4C8C_9AD3_B7F961F3C03B_.wvu.PrintArea" localSheetId="0" hidden="1">'POTRAŽIVANJA '!$A$1:$N$55</definedName>
    <definedName name="Z_B1D981AC_BF34_4C8C_9AD3_B7F961F3C03B_.wvu.PrintTitles" localSheetId="0" hidden="1">'POTRAŽIVANJA '!$2:$3</definedName>
    <definedName name="Z_B82ACAB2_19D0_4FEC_ABD7_A6630A628455_.wvu.FilterData" localSheetId="0" hidden="1">'POTRAŽIVANJA '!$A$2:$N$2</definedName>
    <definedName name="Z_B84FA236_DC69_46E3_BCF5_35208B536009_.wvu.FilterData" localSheetId="0" hidden="1">'POTRAŽIVANJA '!$A$2:$N$2</definedName>
    <definedName name="Z_CA8981AF_FE57_4DF7_960F_295751C92B8D_.wvu.FilterData" localSheetId="0" hidden="1">'POTRAŽIVANJA '!$A$2:$N$2</definedName>
    <definedName name="Z_D0AAB196_C177_40A9_AA76_76AE7C874846_.wvu.FilterData" localSheetId="0" hidden="1">'POTRAŽIVANJA '!$A$2:$N$2</definedName>
    <definedName name="Z_D11D6AA0_EDFE_4E07_8ADC_865141EACEB2_.wvu.Cols" localSheetId="0" hidden="1">'POTRAŽIVANJA '!#REF!,'POTRAŽIVANJA '!#REF!,'POTRAŽIVANJA '!#REF!</definedName>
    <definedName name="Z_D11D6AA0_EDFE_4E07_8ADC_865141EACEB2_.wvu.FilterData" localSheetId="0" hidden="1">'POTRAŽIVANJA '!$A$2:$N$2</definedName>
    <definedName name="Z_D11D6AA0_EDFE_4E07_8ADC_865141EACEB2_.wvu.PrintArea" localSheetId="0" hidden="1">'POTRAŽIVANJA '!$A$1:$N$55</definedName>
    <definedName name="Z_D11D6AA0_EDFE_4E07_8ADC_865141EACEB2_.wvu.PrintTitles" localSheetId="0" hidden="1">'POTRAŽIVANJA '!$2:$3</definedName>
    <definedName name="Z_D3A61B8E_B80B_4891_82C2_7853BFCB940C_.wvu.Cols" localSheetId="0" hidden="1">'POTRAŽIVANJA '!#REF!,'POTRAŽIVANJA '!#REF!,'POTRAŽIVANJA '!#REF!</definedName>
    <definedName name="Z_D3A61B8E_B80B_4891_82C2_7853BFCB940C_.wvu.FilterData" localSheetId="0" hidden="1">'POTRAŽIVANJA '!$A$2:$N$2</definedName>
    <definedName name="Z_D3A61B8E_B80B_4891_82C2_7853BFCB940C_.wvu.PrintArea" localSheetId="0" hidden="1">'POTRAŽIVANJA '!$A$1:$N$55</definedName>
    <definedName name="Z_D3A61B8E_B80B_4891_82C2_7853BFCB940C_.wvu.PrintTitles" localSheetId="0" hidden="1">'POTRAŽIVANJA '!$2:$3</definedName>
    <definedName name="Z_D49C9A08_97E7_437C_9255_11E4C9457AA9_.wvu.FilterData" localSheetId="0" hidden="1">'POTRAŽIVANJA '!$A$2:$N$2</definedName>
    <definedName name="Z_D5312685_68D1_4392_8639_9B07EED8E0B4_.wvu.FilterData" localSheetId="0" hidden="1">'POTRAŽIVANJA '!$A$2:$N$2</definedName>
    <definedName name="Z_DFAFD835_CF82_4EC8_9993_62C21F0EA5F2_.wvu.FilterData" localSheetId="0" hidden="1">'POTRAŽIVANJA '!$A$2:$N$2</definedName>
    <definedName name="Z_F7C46E8F_DEA1_43A0_A20A_41B044493F36_.wvu.FilterData" localSheetId="0" hidden="1">'POTRAŽIVANJA '!$A$2:$N$2</definedName>
    <definedName name="Z_FCC78B18_1C4A_4200_9EB7_014DEC4CEC97_.wvu.Cols" localSheetId="0" hidden="1">'POTRAŽIVANJA '!#REF!,'POTRAŽIVANJA '!#REF!</definedName>
    <definedName name="Z_FCC78B18_1C4A_4200_9EB7_014DEC4CEC97_.wvu.FilterData" localSheetId="0" hidden="1">'POTRAŽIVANJA '!$A$2:$N$2</definedName>
    <definedName name="Z_FCC78B18_1C4A_4200_9EB7_014DEC4CEC97_.wvu.PrintArea" localSheetId="0" hidden="1">'POTRAŽIVANJA '!$A$1:$N$55</definedName>
    <definedName name="Z_FCC78B18_1C4A_4200_9EB7_014DEC4CEC97_.wvu.PrintTitles" localSheetId="0" hidden="1">'POTRAŽIVANJA '!$2:$3</definedName>
    <definedName name="Z_FF88790F_B3A8_43E0_9E45_6D97494C5053_.wvu.Cols" localSheetId="0" hidden="1">'POTRAŽIVANJA '!#REF!</definedName>
    <definedName name="Z_FF88790F_B3A8_43E0_9E45_6D97494C5053_.wvu.FilterData" localSheetId="0" hidden="1">'POTRAŽIVANJA '!$A$2:$N$2</definedName>
    <definedName name="Z_FF88790F_B3A8_43E0_9E45_6D97494C5053_.wvu.PrintArea" localSheetId="0" hidden="1">'POTRAŽIVANJA '!$A$1:$N$55</definedName>
    <definedName name="Z_FF88790F_B3A8_43E0_9E45_6D97494C5053_.wvu.PrintTitles" localSheetId="0" hidden="1">'POTRAŽIVANJA '!$2:$3</definedName>
  </definedNames>
  <calcPr calcId="181029"/>
  <customWorkbookViews>
    <customWorkbookView name="Batelić Barbara - osobni prikaz" guid="{1C6BE7DE-D2D0-40FF-A180-01CCB7FF2580}" mergeInterval="0" personalView="1" maximized="1" xWindow="-9" yWindow="-9" windowWidth="1938" windowHeight="1048" activeSheetId="1"/>
    <customWorkbookView name="Škopac Koroman Katja - Personal View" guid="{39A49891-94B4-414B-A9AD-C01B17B74E79}" mergeInterval="0" personalView="1" maximized="1" xWindow="-8" yWindow="-8" windowWidth="1936" windowHeight="1056" activeSheetId="1"/>
    <customWorkbookView name="szmak - Osobni pogled" guid="{B1D981AC-BF34-4C8C-9AD3-B7F961F3C03B}" mergeInterval="0" personalView="1" maximized="1" xWindow="1" yWindow="1" windowWidth="1276" windowHeight="712" activeSheetId="1"/>
    <customWorkbookView name="rocnik - Personal View" guid="{1285AB19-9522-4B0A-BEC0-749BF7FEE887}" mergeInterval="0" personalView="1" maximized="1" xWindow="1" yWindow="1" windowWidth="1020" windowHeight="501" activeSheetId="1"/>
    <customWorkbookView name="Katja Škopac Koroman - Personal View" guid="{FCC78B18-1C4A-4200-9EB7-014DEC4CEC97}" mergeInterval="0" personalView="1" maximized="1" xWindow="1" yWindow="1" windowWidth="1276" windowHeight="729" activeSheetId="1"/>
    <customWorkbookView name="bbatelic - Personal View" guid="{D11D6AA0-EDFE-4E07-8ADC-865141EACEB2}" mergeInterval="0" personalView="1" maximized="1" xWindow="1" yWindow="1" windowWidth="1276" windowHeight="804" activeSheetId="1"/>
    <customWorkbookView name="lkrajcer - Osobni pogled" guid="{03445B5C-49D0-440B-BC0D-86CAF9BBA1EB}" mergeInterval="0" personalView="1" maximized="1" xWindow="1" yWindow="1" windowWidth="1280" windowHeight="794" activeSheetId="1" showComments="commIndAndComment"/>
    <customWorkbookView name="Igor Fabris - Personal View" guid="{287BB99E-4494-4C80-9BF5-A16ED9F406F9}" mergeInterval="0" personalView="1" maximized="1" xWindow="1" yWindow="1" windowWidth="1276" windowHeight="794" activeSheetId="1"/>
    <customWorkbookView name="mvitasovic - Personal View" guid="{FF88790F-B3A8-43E0-9E45-6D97494C5053}" mergeInterval="0" personalView="1" maximized="1" xWindow="1" yWindow="1" windowWidth="1276" windowHeight="794" activeSheetId="1" showComments="commIndAndComment"/>
    <customWorkbookView name="Fabris Igor - Personal View" guid="{D3A61B8E-B80B-4891-82C2-7853BFCB940C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5" i="1"/>
  <c r="E55"/>
  <c r="F55"/>
  <c r="H55"/>
  <c r="I55"/>
  <c r="J55"/>
  <c r="K55"/>
  <c r="L55"/>
  <c r="M55"/>
  <c r="N55"/>
  <c r="D55"/>
  <c r="N50"/>
  <c r="N51"/>
  <c r="N52"/>
  <c r="G52"/>
  <c r="E49"/>
  <c r="E50"/>
  <c r="G50" s="1"/>
  <c r="E51"/>
  <c r="G51" s="1"/>
  <c r="E52"/>
  <c r="E48"/>
  <c r="E46"/>
  <c r="N25"/>
  <c r="J26"/>
  <c r="K26"/>
  <c r="L26"/>
  <c r="M26"/>
  <c r="I26"/>
  <c r="F26"/>
  <c r="H26"/>
  <c r="D26"/>
  <c r="E25"/>
  <c r="E4" l="1"/>
  <c r="G4" s="1"/>
  <c r="M44" l="1"/>
  <c r="I44"/>
  <c r="N37"/>
  <c r="N38"/>
  <c r="N39"/>
  <c r="N40"/>
  <c r="N41"/>
  <c r="I33"/>
  <c r="M15"/>
  <c r="M7"/>
  <c r="M6"/>
  <c r="K6"/>
  <c r="J6"/>
  <c r="M5"/>
  <c r="K5"/>
  <c r="J5"/>
  <c r="M4"/>
  <c r="I21" l="1"/>
  <c r="N4"/>
  <c r="G49" l="1"/>
  <c r="N49"/>
  <c r="N8" l="1"/>
  <c r="F9" l="1"/>
  <c r="I9"/>
  <c r="J9"/>
  <c r="K9"/>
  <c r="L9"/>
  <c r="M9"/>
  <c r="E8"/>
  <c r="E39"/>
  <c r="G39" s="1"/>
  <c r="G8" l="1"/>
  <c r="F53" l="1"/>
  <c r="H53"/>
  <c r="I53"/>
  <c r="J53"/>
  <c r="K53"/>
  <c r="L53"/>
  <c r="M53"/>
  <c r="I42" l="1"/>
  <c r="H42" l="1"/>
  <c r="H9" l="1"/>
  <c r="E19" l="1"/>
  <c r="F42" l="1"/>
  <c r="J42"/>
  <c r="K42"/>
  <c r="L42"/>
  <c r="M42"/>
  <c r="M22" l="1"/>
  <c r="N7" l="1"/>
  <c r="I13" l="1"/>
  <c r="J16" l="1"/>
  <c r="K16"/>
  <c r="I16"/>
  <c r="I14" s="1"/>
  <c r="I27" s="1"/>
  <c r="H35" l="1"/>
  <c r="L35"/>
  <c r="F35" l="1"/>
  <c r="E41" l="1"/>
  <c r="G41" s="1"/>
  <c r="E5" l="1"/>
  <c r="G5" l="1"/>
  <c r="K35"/>
  <c r="I35"/>
  <c r="N15" l="1"/>
  <c r="N33" l="1"/>
  <c r="F13" l="1"/>
  <c r="E29" l="1"/>
  <c r="G29" s="1"/>
  <c r="E20"/>
  <c r="G20" s="1"/>
  <c r="E30" l="1"/>
  <c r="E40" l="1"/>
  <c r="G40" s="1"/>
  <c r="E38" l="1"/>
  <c r="E10" l="1"/>
  <c r="G10" s="1"/>
  <c r="E44" l="1"/>
  <c r="E24"/>
  <c r="G24" s="1"/>
  <c r="E11" l="1"/>
  <c r="G11" s="1"/>
  <c r="D13"/>
  <c r="E34"/>
  <c r="E33"/>
  <c r="E23"/>
  <c r="E15"/>
  <c r="G15" s="1"/>
  <c r="E6"/>
  <c r="G6" s="1"/>
  <c r="E7"/>
  <c r="G23" l="1"/>
  <c r="G26" s="1"/>
  <c r="E26"/>
  <c r="E12"/>
  <c r="G12" s="1"/>
  <c r="E17"/>
  <c r="G17" s="1"/>
  <c r="E32"/>
  <c r="E35" s="1"/>
  <c r="D35"/>
  <c r="G33"/>
  <c r="N10" l="1"/>
  <c r="E18" l="1"/>
  <c r="G18" s="1"/>
  <c r="D21"/>
  <c r="N48"/>
  <c r="L47"/>
  <c r="J47"/>
  <c r="M47"/>
  <c r="N45"/>
  <c r="H47"/>
  <c r="K47"/>
  <c r="I47"/>
  <c r="M31"/>
  <c r="L31"/>
  <c r="L36" s="1"/>
  <c r="J31"/>
  <c r="I31"/>
  <c r="H31"/>
  <c r="H36" s="1"/>
  <c r="N30"/>
  <c r="K31"/>
  <c r="K36" s="1"/>
  <c r="N29"/>
  <c r="N28"/>
  <c r="F28"/>
  <c r="E28" s="1"/>
  <c r="N24"/>
  <c r="N22"/>
  <c r="E22"/>
  <c r="L21"/>
  <c r="J21"/>
  <c r="H21"/>
  <c r="F21"/>
  <c r="N20"/>
  <c r="M21"/>
  <c r="N18"/>
  <c r="N17"/>
  <c r="M16"/>
  <c r="L16"/>
  <c r="H16"/>
  <c r="F16"/>
  <c r="N16"/>
  <c r="M13"/>
  <c r="L13"/>
  <c r="K13"/>
  <c r="J13"/>
  <c r="H13"/>
  <c r="N12"/>
  <c r="N11"/>
  <c r="N6"/>
  <c r="I36" l="1"/>
  <c r="I43" s="1"/>
  <c r="M35"/>
  <c r="M36" s="1"/>
  <c r="J35"/>
  <c r="J36" s="1"/>
  <c r="F14"/>
  <c r="F27" s="1"/>
  <c r="N53"/>
  <c r="E45"/>
  <c r="G45" s="1"/>
  <c r="D47"/>
  <c r="N42"/>
  <c r="G46"/>
  <c r="G34"/>
  <c r="J14"/>
  <c r="J27" s="1"/>
  <c r="L14"/>
  <c r="L27" s="1"/>
  <c r="L43" s="1"/>
  <c r="H14"/>
  <c r="H27" s="1"/>
  <c r="H43" s="1"/>
  <c r="N31"/>
  <c r="K21"/>
  <c r="N13"/>
  <c r="G22"/>
  <c r="N23"/>
  <c r="N26" s="1"/>
  <c r="N34"/>
  <c r="N46"/>
  <c r="M14"/>
  <c r="M27" s="1"/>
  <c r="M43" s="1"/>
  <c r="N44"/>
  <c r="N19"/>
  <c r="N21" s="1"/>
  <c r="J43" l="1"/>
  <c r="N32"/>
  <c r="N35" s="1"/>
  <c r="N36" s="1"/>
  <c r="D53"/>
  <c r="G13"/>
  <c r="G30"/>
  <c r="G38"/>
  <c r="N47"/>
  <c r="K14"/>
  <c r="K27" s="1"/>
  <c r="K43" s="1"/>
  <c r="N14"/>
  <c r="N27" s="1"/>
  <c r="D31"/>
  <c r="D36" s="1"/>
  <c r="F31"/>
  <c r="F36" s="1"/>
  <c r="G48" l="1"/>
  <c r="G53" s="1"/>
  <c r="E53"/>
  <c r="G31"/>
  <c r="F43"/>
  <c r="E13"/>
  <c r="F47"/>
  <c r="D16"/>
  <c r="D14" s="1"/>
  <c r="D27" s="1"/>
  <c r="G16"/>
  <c r="E31"/>
  <c r="E36" s="1"/>
  <c r="G32"/>
  <c r="G35" s="1"/>
  <c r="G36" l="1"/>
  <c r="E16"/>
  <c r="E47" l="1"/>
  <c r="G44" l="1"/>
  <c r="G47" s="1"/>
  <c r="G19" l="1"/>
  <c r="G21" s="1"/>
  <c r="E21"/>
  <c r="E14" l="1"/>
  <c r="E27" s="1"/>
  <c r="G14" l="1"/>
  <c r="G27" s="1"/>
  <c r="G7" l="1"/>
  <c r="N5" l="1"/>
  <c r="N9" l="1"/>
  <c r="N43" l="1"/>
  <c r="E37"/>
  <c r="D42"/>
  <c r="E42" l="1"/>
  <c r="G37"/>
  <c r="G42" s="1"/>
  <c r="D9" l="1"/>
  <c r="D43" l="1"/>
  <c r="G9"/>
  <c r="E9"/>
  <c r="G43" l="1"/>
  <c r="E43"/>
</calcChain>
</file>

<file path=xl/comments1.xml><?xml version="1.0" encoding="utf-8"?>
<comments xmlns="http://schemas.openxmlformats.org/spreadsheetml/2006/main">
  <authors>
    <author>dsain</author>
  </authors>
  <commentList>
    <comment ref="M15" authorId="0">
      <text>
        <r>
          <rPr>
            <b/>
            <sz val="9"/>
            <color indexed="81"/>
            <rFont val="Segoe UI"/>
            <family val="2"/>
            <charset val="238"/>
          </rPr>
          <t>dsain:</t>
        </r>
        <r>
          <rPr>
            <sz val="9"/>
            <color indexed="81"/>
            <rFont val="Segoe UI"/>
            <family val="2"/>
            <charset val="238"/>
          </rPr>
          <t xml:space="preserve">
ovršil je više od dospjelog salda??</t>
        </r>
      </text>
    </comment>
    <comment ref="L19" authorId="0">
      <text>
        <r>
          <rPr>
            <b/>
            <sz val="9"/>
            <color indexed="81"/>
            <rFont val="Segoe UI"/>
            <family val="2"/>
            <charset val="238"/>
          </rPr>
          <t>dsain:</t>
        </r>
        <r>
          <rPr>
            <sz val="9"/>
            <color indexed="81"/>
            <rFont val="Segoe UI"/>
            <family val="2"/>
            <charset val="238"/>
          </rPr>
          <t xml:space="preserve">
NIJE DALA PODATAK ZA 30.06.2022
</t>
        </r>
      </text>
    </comment>
    <comment ref="J32" authorId="0">
      <text>
        <r>
          <rPr>
            <b/>
            <sz val="9"/>
            <color indexed="81"/>
            <rFont val="Segoe UI"/>
            <family val="2"/>
            <charset val="238"/>
          </rPr>
          <t>dsain:</t>
        </r>
        <r>
          <rPr>
            <sz val="9"/>
            <color indexed="81"/>
            <rFont val="Segoe UI"/>
            <family val="2"/>
            <charset val="238"/>
          </rPr>
          <t xml:space="preserve">
ISTO KAO 2021.</t>
        </r>
      </text>
    </comment>
  </commentList>
</comments>
</file>

<file path=xl/sharedStrings.xml><?xml version="1.0" encoding="utf-8"?>
<sst xmlns="http://schemas.openxmlformats.org/spreadsheetml/2006/main" count="122" uniqueCount="120">
  <si>
    <t>Konto</t>
  </si>
  <si>
    <t>Opis</t>
  </si>
  <si>
    <t>Dospjela</t>
  </si>
  <si>
    <t>Nedospjela</t>
  </si>
  <si>
    <t>UKUPNO OVRHE</t>
  </si>
  <si>
    <t>1</t>
  </si>
  <si>
    <t>1613102</t>
  </si>
  <si>
    <t>Porez na kuće za odmor</t>
  </si>
  <si>
    <t>1614602</t>
  </si>
  <si>
    <t>Porez na tvrtku ili naziv</t>
  </si>
  <si>
    <t>1614301</t>
  </si>
  <si>
    <t xml:space="preserve">Porez na potrošnju </t>
  </si>
  <si>
    <t>Porez na korištenje javnih površina</t>
  </si>
  <si>
    <t>161</t>
  </si>
  <si>
    <t>Ukupno potraživanja za poreze</t>
  </si>
  <si>
    <t>1641901</t>
  </si>
  <si>
    <t>Potraživanja po osnovi naknade za zbrinjavanje kom. otpada na Kaštjunu</t>
  </si>
  <si>
    <t>Potraživanja za Ugovore o financiranju-stvarni troškovi gradnje</t>
  </si>
  <si>
    <t>Ostala potraživanja za usluge Grada Pule</t>
  </si>
  <si>
    <t>1641</t>
  </si>
  <si>
    <t>Potraživanja za prihode od financijske imovine-knjiga izlaznih računa</t>
  </si>
  <si>
    <t>1642</t>
  </si>
  <si>
    <t>Potraživanja za prihode od nefinancijske imovine</t>
  </si>
  <si>
    <t>1642101</t>
  </si>
  <si>
    <t>Potraživanja za koncesije-pom.dobro</t>
  </si>
  <si>
    <t>16421</t>
  </si>
  <si>
    <t>Potraživanja za dane koncesije</t>
  </si>
  <si>
    <t>1642201</t>
  </si>
  <si>
    <t>Potraživanje za stanarinu-najam</t>
  </si>
  <si>
    <t>1642203</t>
  </si>
  <si>
    <t>Potraživanja za najam javnih površina</t>
  </si>
  <si>
    <t>1642204</t>
  </si>
  <si>
    <t>Potraživanja za zakup poslovnog prostora</t>
  </si>
  <si>
    <t>1642207</t>
  </si>
  <si>
    <t>16422</t>
  </si>
  <si>
    <t>Potraživanja od zakupa i iznajmljivanja imovine</t>
  </si>
  <si>
    <t>16423</t>
  </si>
  <si>
    <t>Potraživanja za naknade za korištenje nefinancijske imovine</t>
  </si>
  <si>
    <t>16429002</t>
  </si>
  <si>
    <t>16429003</t>
  </si>
  <si>
    <t>Naknada za zadržavanje besp.izg.zgr.u prostoru-2963</t>
  </si>
  <si>
    <t>16429</t>
  </si>
  <si>
    <t>Potraživanja za ostale prihode od nefinancijske imovine</t>
  </si>
  <si>
    <t>164</t>
  </si>
  <si>
    <t>Potraživanja za prihode od imovine</t>
  </si>
  <si>
    <t>1652601</t>
  </si>
  <si>
    <t>Potraživanja od APN-a</t>
  </si>
  <si>
    <t>1652604</t>
  </si>
  <si>
    <t>1652605</t>
  </si>
  <si>
    <t>1652</t>
  </si>
  <si>
    <t>Potraživanja za prihode po posebnim propisima</t>
  </si>
  <si>
    <t>1653300</t>
  </si>
  <si>
    <t>1653200</t>
  </si>
  <si>
    <t>Potraživanja za komunalnu naknadu</t>
  </si>
  <si>
    <t>1653100</t>
  </si>
  <si>
    <t>Potraživanja za komunalni doprinos</t>
  </si>
  <si>
    <t>1653</t>
  </si>
  <si>
    <t>Potraživanja za komunalne doprinose i naknade</t>
  </si>
  <si>
    <t>165</t>
  </si>
  <si>
    <t>Potraživanja za upravne i administrativne pristojbe, pristojbe po posebnim propisima</t>
  </si>
  <si>
    <t>16815000</t>
  </si>
  <si>
    <t>Potraživanja za kazne za nepropisno parkirana vozila</t>
  </si>
  <si>
    <t>16815001</t>
  </si>
  <si>
    <t>168</t>
  </si>
  <si>
    <t>Potraživanja za kazne i upravne mjere</t>
  </si>
  <si>
    <t>16</t>
  </si>
  <si>
    <t>Potraživanja za prihode poslovanja</t>
  </si>
  <si>
    <t>1721101
1721102
1721110
1721111
1721112</t>
  </si>
  <si>
    <t>Potraživanja od prodaje stanova</t>
  </si>
  <si>
    <t>17212001</t>
  </si>
  <si>
    <t>Potraživanja od prodaje nekretnina-poslovni prostori</t>
  </si>
  <si>
    <t>1711101
1711103</t>
  </si>
  <si>
    <t>Potraživanja od prodaje nekretnina-zemljište</t>
  </si>
  <si>
    <t>17</t>
  </si>
  <si>
    <t>Potraživanja od prodaje nefinancijske imovine</t>
  </si>
  <si>
    <t>1291101</t>
  </si>
  <si>
    <t>1292104</t>
  </si>
  <si>
    <t>Ostala nespomenuta potraživanja</t>
  </si>
  <si>
    <t>Ostala potraživanja za predujmove i naknade koje se refundiraju i ostala nespomenuta potraživanja</t>
  </si>
  <si>
    <t>Potraživanja iz ranijih godina dospjela</t>
  </si>
  <si>
    <t>Prijavljeno u stečaj ili likvidaciju-saldo</t>
  </si>
  <si>
    <t>Prijavljeno u postupak predstečajne nagodbe-saldo</t>
  </si>
  <si>
    <t>Potraživanja za naknadu za uređenje voda-stambeni pr.</t>
  </si>
  <si>
    <t>Potraživanja za naknadu za uređenje voda-poslovni pr.</t>
  </si>
  <si>
    <t xml:space="preserve">Potraživanja za naknadu za priključke </t>
  </si>
  <si>
    <t>Potraživanja za kazne za parkirališta</t>
  </si>
  <si>
    <t>Potraživanja za nakn.za uređ.voda-zakupci</t>
  </si>
  <si>
    <t>Grad Pula - potraživanja za bolovanje</t>
  </si>
  <si>
    <t>1683102</t>
  </si>
  <si>
    <t>Potraživanja za ostale prihode - parnični troškovi</t>
  </si>
  <si>
    <t>1683103</t>
  </si>
  <si>
    <t>Potraživanja za ostale prihode - presuda Monte Zaro</t>
  </si>
  <si>
    <t>Redni
broj</t>
  </si>
  <si>
    <t>SVEUKUPNO</t>
  </si>
  <si>
    <t>Potraživanja za spomeničku rentu 100%</t>
  </si>
  <si>
    <t>124
1291
1292</t>
  </si>
  <si>
    <t>1681600</t>
  </si>
  <si>
    <t xml:space="preserve">Kazne po prekršajnom nalogu-porezna uprava                                     </t>
  </si>
  <si>
    <t>161340</t>
  </si>
  <si>
    <t>Porez na promet nekretnina 1783</t>
  </si>
  <si>
    <t>6</t>
  </si>
  <si>
    <t>Potraživanja (stanje 30.6.)</t>
  </si>
  <si>
    <t>13 (9+10+11+12)</t>
  </si>
  <si>
    <t>GRAD PULA - POLA STANJE POTRAŽIVANJA NA DAN 30.6.2022.</t>
  </si>
  <si>
    <t>Poslane opomene u 2022.</t>
  </si>
  <si>
    <t>Mjenice i zadužnice
u 2022. - saldo</t>
  </si>
  <si>
    <t>Ovrhe saldo
30.6.2022.</t>
  </si>
  <si>
    <t>Potraživanja tekuće 2022. godine dospjela</t>
  </si>
  <si>
    <t>16429000</t>
  </si>
  <si>
    <t>Potraživanje za otkopane količine neenergetskih mineralnih sirovina</t>
  </si>
  <si>
    <t>1241101</t>
  </si>
  <si>
    <t>Potraživanje za više plaćen porez i prirez na dohodak</t>
  </si>
  <si>
    <t>1245101</t>
  </si>
  <si>
    <t>Potraživanja za više plaćene doprinose za zdravstveno osiguranje</t>
  </si>
  <si>
    <t>124520</t>
  </si>
  <si>
    <t>Potraživanja za više plaćene doprinose za mirovinsko osiguranje</t>
  </si>
  <si>
    <t>123</t>
  </si>
  <si>
    <t>Potraživanja od zaposlenih</t>
  </si>
  <si>
    <t>10</t>
  </si>
  <si>
    <t>19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</si>
</sst>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2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i/>
      <sz val="1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ill="1"/>
    <xf numFmtId="4" fontId="0" fillId="0" borderId="1" xfId="0" applyNumberFormat="1" applyFill="1" applyBorder="1" applyAlignment="1" applyProtection="1">
      <alignment wrapText="1"/>
      <protection locked="0"/>
    </xf>
    <xf numFmtId="4" fontId="2" fillId="0" borderId="1" xfId="0" applyNumberFormat="1" applyFont="1" applyFill="1" applyBorder="1" applyAlignment="1" applyProtection="1">
      <alignment wrapText="1"/>
      <protection locked="0"/>
    </xf>
    <xf numFmtId="0" fontId="0" fillId="0" borderId="0" xfId="0" applyFill="1" applyAlignment="1"/>
    <xf numFmtId="0" fontId="6" fillId="0" borderId="0" xfId="0" applyFont="1" applyAlignment="1"/>
    <xf numFmtId="0" fontId="0" fillId="0" borderId="0" xfId="0" applyAlignment="1"/>
    <xf numFmtId="0" fontId="6" fillId="0" borderId="0" xfId="0" applyFont="1" applyFill="1" applyAlignment="1"/>
    <xf numFmtId="4" fontId="0" fillId="0" borderId="0" xfId="0" applyNumberFormat="1"/>
    <xf numFmtId="0" fontId="6" fillId="0" borderId="0" xfId="0" applyFont="1" applyAlignment="1">
      <alignment vertical="center"/>
    </xf>
    <xf numFmtId="4" fontId="0" fillId="0" borderId="1" xfId="0" applyNumberFormat="1" applyFill="1" applyBorder="1" applyAlignment="1" applyProtection="1">
      <alignment horizontal="right" wrapText="1"/>
      <protection locked="0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49" fontId="2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0" fillId="0" borderId="1" xfId="0" applyNumberForma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left" wrapText="1"/>
    </xf>
    <xf numFmtId="4" fontId="5" fillId="2" borderId="1" xfId="0" applyNumberFormat="1" applyFont="1" applyFill="1" applyBorder="1" applyAlignment="1" applyProtection="1">
      <alignment wrapText="1"/>
      <protection locked="0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wrapText="1"/>
    </xf>
    <xf numFmtId="4" fontId="4" fillId="0" borderId="1" xfId="0" applyNumberFormat="1" applyFont="1" applyFill="1" applyBorder="1" applyAlignment="1" applyProtection="1">
      <alignment horizontal="right" wrapText="1"/>
      <protection locked="0"/>
    </xf>
    <xf numFmtId="1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4" fontId="4" fillId="0" borderId="1" xfId="0" applyNumberFormat="1" applyFont="1" applyFill="1" applyBorder="1" applyAlignment="1" applyProtection="1">
      <alignment wrapText="1"/>
      <protection locked="0"/>
    </xf>
    <xf numFmtId="0" fontId="0" fillId="0" borderId="1" xfId="0" applyFill="1" applyBorder="1" applyAlignment="1">
      <alignment horizontal="left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 applyProtection="1">
      <alignment wrapText="1"/>
      <protection locked="0"/>
    </xf>
    <xf numFmtId="4" fontId="0" fillId="0" borderId="1" xfId="0" applyNumberFormat="1" applyBorder="1" applyAlignment="1" applyProtection="1">
      <alignment wrapText="1"/>
      <protection locked="0"/>
    </xf>
    <xf numFmtId="4" fontId="0" fillId="3" borderId="1" xfId="0" applyNumberFormat="1" applyFill="1" applyBorder="1" applyAlignment="1" applyProtection="1">
      <alignment wrapText="1"/>
      <protection locked="0"/>
    </xf>
    <xf numFmtId="4" fontId="0" fillId="0" borderId="1" xfId="0" applyNumberFormat="1" applyBorder="1" applyAlignment="1" applyProtection="1">
      <alignment horizontal="right" wrapText="1"/>
      <protection locked="0"/>
    </xf>
    <xf numFmtId="4" fontId="0" fillId="3" borderId="1" xfId="0" applyNumberFormat="1" applyFill="1" applyBorder="1"/>
    <xf numFmtId="4" fontId="2" fillId="3" borderId="1" xfId="0" applyNumberFormat="1" applyFont="1" applyFill="1" applyBorder="1" applyAlignment="1" applyProtection="1">
      <alignment horizontal="right" wrapText="1"/>
      <protection locked="0"/>
    </xf>
    <xf numFmtId="4" fontId="0" fillId="3" borderId="1" xfId="0" applyNumberFormat="1" applyFill="1" applyBorder="1" applyAlignment="1" applyProtection="1">
      <alignment horizontal="right" wrapText="1"/>
      <protection locked="0"/>
    </xf>
    <xf numFmtId="4" fontId="9" fillId="3" borderId="1" xfId="0" applyNumberFormat="1" applyFont="1" applyFill="1" applyBorder="1"/>
    <xf numFmtId="4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4" fontId="0" fillId="0" borderId="0" xfId="0" applyNumberFormat="1" applyFill="1"/>
    <xf numFmtId="49" fontId="2" fillId="0" borderId="3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59"/>
  <sheetViews>
    <sheetView showGridLines="0" tabSelected="1" zoomScaleNormal="100" zoomScaleSheetLayoutView="80" zoomScalePageLayoutView="50" workbookViewId="0">
      <pane xSplit="3" ySplit="2" topLeftCell="D49" activePane="bottomRight" state="frozen"/>
      <selection pane="topRight" activeCell="L1" sqref="L1"/>
      <selection pane="bottomLeft" activeCell="A3" sqref="A3"/>
      <selection pane="bottomRight" activeCell="A55" sqref="A55"/>
    </sheetView>
  </sheetViews>
  <sheetFormatPr defaultRowHeight="12.75"/>
  <cols>
    <col min="1" max="1" width="5.85546875" customWidth="1"/>
    <col min="2" max="2" width="10" customWidth="1"/>
    <col min="3" max="3" width="47.5703125" customWidth="1"/>
    <col min="4" max="5" width="16.7109375" style="1" customWidth="1"/>
    <col min="6" max="6" width="15.7109375" style="1" customWidth="1"/>
    <col min="7" max="8" width="16.7109375" style="1" customWidth="1"/>
    <col min="9" max="9" width="15.28515625" bestFit="1" customWidth="1"/>
    <col min="10" max="10" width="14.28515625" bestFit="1" customWidth="1"/>
    <col min="11" max="11" width="12.7109375" bestFit="1" customWidth="1"/>
    <col min="12" max="12" width="13.28515625" bestFit="1" customWidth="1"/>
    <col min="13" max="13" width="13.85546875" bestFit="1" customWidth="1"/>
    <col min="14" max="14" width="14" bestFit="1" customWidth="1"/>
    <col min="15" max="15" width="13.85546875" customWidth="1"/>
  </cols>
  <sheetData>
    <row r="1" spans="1:14" s="1" customFormat="1" ht="35.25" customHeight="1">
      <c r="A1" s="67" t="s">
        <v>103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1" customFormat="1" ht="59.25" customHeight="1">
      <c r="A2" s="16" t="s">
        <v>92</v>
      </c>
      <c r="B2" s="16" t="s">
        <v>0</v>
      </c>
      <c r="C2" s="17" t="s">
        <v>1</v>
      </c>
      <c r="D2" s="18" t="s">
        <v>101</v>
      </c>
      <c r="E2" s="18" t="s">
        <v>2</v>
      </c>
      <c r="F2" s="18" t="s">
        <v>3</v>
      </c>
      <c r="G2" s="18" t="s">
        <v>79</v>
      </c>
      <c r="H2" s="18" t="s">
        <v>107</v>
      </c>
      <c r="I2" s="18" t="s">
        <v>104</v>
      </c>
      <c r="J2" s="19" t="s">
        <v>80</v>
      </c>
      <c r="K2" s="19" t="s">
        <v>81</v>
      </c>
      <c r="L2" s="18" t="s">
        <v>105</v>
      </c>
      <c r="M2" s="19" t="s">
        <v>106</v>
      </c>
      <c r="N2" s="19" t="s">
        <v>4</v>
      </c>
    </row>
    <row r="3" spans="1:14" s="4" customFormat="1" ht="20.25" customHeight="1">
      <c r="A3" s="20">
        <v>0</v>
      </c>
      <c r="B3" s="21" t="s">
        <v>5</v>
      </c>
      <c r="C3" s="22">
        <v>2</v>
      </c>
      <c r="D3" s="22">
        <v>3</v>
      </c>
      <c r="E3" s="22">
        <v>4</v>
      </c>
      <c r="F3" s="22">
        <v>5</v>
      </c>
      <c r="G3" s="22">
        <v>6</v>
      </c>
      <c r="H3" s="22">
        <v>7</v>
      </c>
      <c r="I3" s="22">
        <v>8</v>
      </c>
      <c r="J3" s="22">
        <v>9</v>
      </c>
      <c r="K3" s="22">
        <v>10</v>
      </c>
      <c r="L3" s="22">
        <v>11</v>
      </c>
      <c r="M3" s="22">
        <v>12</v>
      </c>
      <c r="N3" s="22" t="s">
        <v>102</v>
      </c>
    </row>
    <row r="4" spans="1:14" s="4" customFormat="1">
      <c r="A4" s="23">
        <v>1</v>
      </c>
      <c r="B4" s="15" t="s">
        <v>6</v>
      </c>
      <c r="C4" s="24" t="s">
        <v>7</v>
      </c>
      <c r="D4" s="2">
        <v>49338.87</v>
      </c>
      <c r="E4" s="2">
        <f>D4-F4</f>
        <v>20395.270000000004</v>
      </c>
      <c r="F4" s="2">
        <v>28943.599999999999</v>
      </c>
      <c r="G4" s="2">
        <f>E4-H4</f>
        <v>4678.6800000000039</v>
      </c>
      <c r="H4" s="2">
        <v>15716.59</v>
      </c>
      <c r="I4" s="51">
        <v>8644.67</v>
      </c>
      <c r="J4" s="52">
        <v>0</v>
      </c>
      <c r="K4" s="52">
        <v>0</v>
      </c>
      <c r="L4" s="52">
        <v>0</v>
      </c>
      <c r="M4" s="52">
        <f>6839.04+745.89</f>
        <v>7584.93</v>
      </c>
      <c r="N4" s="2">
        <f>J4+K4+L4+M4</f>
        <v>7584.93</v>
      </c>
    </row>
    <row r="5" spans="1:14" s="4" customFormat="1">
      <c r="A5" s="23">
        <v>2</v>
      </c>
      <c r="B5" s="15" t="s">
        <v>8</v>
      </c>
      <c r="C5" s="24" t="s">
        <v>9</v>
      </c>
      <c r="D5" s="2">
        <v>478310.92</v>
      </c>
      <c r="E5" s="2">
        <f>D5-F5</f>
        <v>478164.16</v>
      </c>
      <c r="F5" s="3">
        <v>146.76</v>
      </c>
      <c r="G5" s="2">
        <f>E5-H5</f>
        <v>411706.77999999997</v>
      </c>
      <c r="H5" s="2">
        <v>66457.38</v>
      </c>
      <c r="I5" s="51">
        <v>0</v>
      </c>
      <c r="J5" s="52">
        <f>95059.22+39796.85</f>
        <v>134856.07</v>
      </c>
      <c r="K5" s="52">
        <f>47282.45+3031.05</f>
        <v>50313.5</v>
      </c>
      <c r="L5" s="52">
        <v>0</v>
      </c>
      <c r="M5" s="52">
        <f>142711.06+133810.4</f>
        <v>276521.45999999996</v>
      </c>
      <c r="N5" s="2">
        <f>J5+K5+L5+M5</f>
        <v>461691.02999999997</v>
      </c>
    </row>
    <row r="6" spans="1:14" s="4" customFormat="1">
      <c r="A6" s="23">
        <v>3</v>
      </c>
      <c r="B6" s="15" t="s">
        <v>10</v>
      </c>
      <c r="C6" s="24" t="s">
        <v>11</v>
      </c>
      <c r="D6" s="2">
        <v>331852.96999999997</v>
      </c>
      <c r="E6" s="2">
        <f>D6-F6</f>
        <v>331852.96999999997</v>
      </c>
      <c r="F6" s="2">
        <v>0</v>
      </c>
      <c r="G6" s="2">
        <f>E6-H6</f>
        <v>244711.87999999998</v>
      </c>
      <c r="H6" s="2">
        <v>87141.09</v>
      </c>
      <c r="I6" s="51">
        <v>352884.99</v>
      </c>
      <c r="J6" s="52">
        <f>220.42+76.53</f>
        <v>296.95</v>
      </c>
      <c r="K6" s="52">
        <f>2146.75+0</f>
        <v>2146.75</v>
      </c>
      <c r="L6" s="52">
        <v>0</v>
      </c>
      <c r="M6" s="52">
        <f>207531.24+76174.96</f>
        <v>283706.2</v>
      </c>
      <c r="N6" s="2">
        <f>J6+K6+L6+M6</f>
        <v>286149.90000000002</v>
      </c>
    </row>
    <row r="7" spans="1:14" s="4" customFormat="1">
      <c r="A7" s="23">
        <v>4</v>
      </c>
      <c r="B7" s="14">
        <v>1613101</v>
      </c>
      <c r="C7" s="24" t="s">
        <v>12</v>
      </c>
      <c r="D7" s="2">
        <v>703191.59</v>
      </c>
      <c r="E7" s="2">
        <f>D7-F7</f>
        <v>703191.59</v>
      </c>
      <c r="F7" s="2">
        <v>0</v>
      </c>
      <c r="G7" s="2">
        <f>E7-H7</f>
        <v>309228.68999999994</v>
      </c>
      <c r="H7" s="2">
        <v>393962.9</v>
      </c>
      <c r="I7" s="51">
        <v>793888.09</v>
      </c>
      <c r="J7" s="53">
        <v>0</v>
      </c>
      <c r="K7" s="53">
        <v>0</v>
      </c>
      <c r="L7" s="53">
        <v>0</v>
      </c>
      <c r="M7" s="53">
        <f>347284.93+85539.41</f>
        <v>432824.33999999997</v>
      </c>
      <c r="N7" s="2">
        <f>J7+K7+L7+M7</f>
        <v>432824.33999999997</v>
      </c>
    </row>
    <row r="8" spans="1:14" s="4" customFormat="1">
      <c r="A8" s="23">
        <v>5</v>
      </c>
      <c r="B8" s="15" t="s">
        <v>98</v>
      </c>
      <c r="C8" s="25" t="s">
        <v>99</v>
      </c>
      <c r="D8" s="2">
        <v>3872850.98</v>
      </c>
      <c r="E8" s="2">
        <f>D8-F8</f>
        <v>3872850.98</v>
      </c>
      <c r="F8" s="2">
        <v>0</v>
      </c>
      <c r="G8" s="2">
        <f>E8-H8</f>
        <v>3872850.98</v>
      </c>
      <c r="H8" s="2">
        <v>0</v>
      </c>
      <c r="I8" s="3">
        <v>0</v>
      </c>
      <c r="J8" s="2">
        <v>0</v>
      </c>
      <c r="K8" s="2">
        <v>0</v>
      </c>
      <c r="L8" s="2">
        <v>0</v>
      </c>
      <c r="M8" s="2">
        <v>0</v>
      </c>
      <c r="N8" s="2">
        <f>J8+K8+L8+M8</f>
        <v>0</v>
      </c>
    </row>
    <row r="9" spans="1:14" s="5" customFormat="1" ht="30.75" customHeight="1">
      <c r="A9" s="26" t="s">
        <v>100</v>
      </c>
      <c r="B9" s="27" t="s">
        <v>13</v>
      </c>
      <c r="C9" s="28" t="s">
        <v>14</v>
      </c>
      <c r="D9" s="29">
        <f t="shared" ref="D9:N9" si="0">SUM(D4:D8)</f>
        <v>5435545.3300000001</v>
      </c>
      <c r="E9" s="29">
        <f t="shared" si="0"/>
        <v>5406454.9699999997</v>
      </c>
      <c r="F9" s="29">
        <f t="shared" si="0"/>
        <v>29090.359999999997</v>
      </c>
      <c r="G9" s="29">
        <f t="shared" si="0"/>
        <v>4843177.01</v>
      </c>
      <c r="H9" s="29">
        <f t="shared" si="0"/>
        <v>563277.96</v>
      </c>
      <c r="I9" s="29">
        <f t="shared" si="0"/>
        <v>1155417.75</v>
      </c>
      <c r="J9" s="29">
        <f t="shared" si="0"/>
        <v>135153.02000000002</v>
      </c>
      <c r="K9" s="29">
        <f t="shared" si="0"/>
        <v>52460.25</v>
      </c>
      <c r="L9" s="29">
        <f t="shared" si="0"/>
        <v>0</v>
      </c>
      <c r="M9" s="29">
        <f t="shared" si="0"/>
        <v>1000636.9299999999</v>
      </c>
      <c r="N9" s="29">
        <f t="shared" si="0"/>
        <v>1188250.2</v>
      </c>
    </row>
    <row r="10" spans="1:14" s="4" customFormat="1" ht="25.5">
      <c r="A10" s="23">
        <v>7</v>
      </c>
      <c r="B10" s="15" t="s">
        <v>15</v>
      </c>
      <c r="C10" s="25" t="s">
        <v>16</v>
      </c>
      <c r="D10" s="2">
        <v>69374.52</v>
      </c>
      <c r="E10" s="2">
        <f>D10-F10</f>
        <v>69374.52</v>
      </c>
      <c r="F10" s="2">
        <v>0</v>
      </c>
      <c r="G10" s="2">
        <f t="shared" ref="G10:G12" si="1">E10-H10</f>
        <v>69374.52</v>
      </c>
      <c r="H10" s="2">
        <v>0</v>
      </c>
      <c r="I10" s="11">
        <v>0</v>
      </c>
      <c r="J10" s="10">
        <v>0</v>
      </c>
      <c r="K10" s="10">
        <v>0</v>
      </c>
      <c r="L10" s="10">
        <v>0</v>
      </c>
      <c r="M10" s="2">
        <v>0</v>
      </c>
      <c r="N10" s="2">
        <f>J10+K10+L10+M10</f>
        <v>0</v>
      </c>
    </row>
    <row r="11" spans="1:14" s="4" customFormat="1" ht="25.5">
      <c r="A11" s="23">
        <v>8</v>
      </c>
      <c r="B11" s="15" t="s">
        <v>15</v>
      </c>
      <c r="C11" s="25" t="s">
        <v>17</v>
      </c>
      <c r="D11" s="2">
        <v>1410998.67</v>
      </c>
      <c r="E11" s="2">
        <f>D11-F11</f>
        <v>1410998.67</v>
      </c>
      <c r="F11" s="2">
        <v>0</v>
      </c>
      <c r="G11" s="2">
        <f t="shared" si="1"/>
        <v>1410998.67</v>
      </c>
      <c r="H11" s="2">
        <v>0</v>
      </c>
      <c r="I11" s="51">
        <v>0</v>
      </c>
      <c r="J11" s="54">
        <v>1260029.6499999999</v>
      </c>
      <c r="K11" s="54">
        <v>0</v>
      </c>
      <c r="L11" s="54">
        <v>0</v>
      </c>
      <c r="M11" s="52">
        <v>0</v>
      </c>
      <c r="N11" s="2">
        <f>J11+K11+L11+M11</f>
        <v>1260029.6499999999</v>
      </c>
    </row>
    <row r="12" spans="1:14" s="4" customFormat="1">
      <c r="A12" s="23">
        <v>9</v>
      </c>
      <c r="B12" s="15" t="s">
        <v>15</v>
      </c>
      <c r="C12" s="25" t="s">
        <v>18</v>
      </c>
      <c r="D12" s="2">
        <v>335924.98</v>
      </c>
      <c r="E12" s="2">
        <f>D12-F12</f>
        <v>335924.98</v>
      </c>
      <c r="F12" s="2">
        <v>0</v>
      </c>
      <c r="G12" s="2">
        <f t="shared" si="1"/>
        <v>221225.25999999998</v>
      </c>
      <c r="H12" s="2">
        <v>114699.72</v>
      </c>
      <c r="I12" s="56">
        <v>0</v>
      </c>
      <c r="J12" s="54">
        <v>0</v>
      </c>
      <c r="K12" s="54">
        <v>0</v>
      </c>
      <c r="L12" s="54">
        <v>0</v>
      </c>
      <c r="M12" s="52">
        <v>115742.07</v>
      </c>
      <c r="N12" s="2">
        <f>J12+K12+L12+M12</f>
        <v>115742.07</v>
      </c>
    </row>
    <row r="13" spans="1:14" s="4" customFormat="1" ht="25.5">
      <c r="A13" s="32" t="s">
        <v>118</v>
      </c>
      <c r="B13" s="33" t="s">
        <v>19</v>
      </c>
      <c r="C13" s="34" t="s">
        <v>20</v>
      </c>
      <c r="D13" s="35">
        <f>SUM(D10:D12)</f>
        <v>1816298.17</v>
      </c>
      <c r="E13" s="35">
        <f t="shared" ref="E13:N13" si="2">SUM(E10:E12)</f>
        <v>1816298.17</v>
      </c>
      <c r="F13" s="35">
        <f t="shared" si="2"/>
        <v>0</v>
      </c>
      <c r="G13" s="35">
        <f t="shared" si="2"/>
        <v>1701598.45</v>
      </c>
      <c r="H13" s="35">
        <f t="shared" si="2"/>
        <v>114699.72</v>
      </c>
      <c r="I13" s="35">
        <f t="shared" si="2"/>
        <v>0</v>
      </c>
      <c r="J13" s="35">
        <f t="shared" si="2"/>
        <v>1260029.6499999999</v>
      </c>
      <c r="K13" s="35">
        <f t="shared" si="2"/>
        <v>0</v>
      </c>
      <c r="L13" s="35">
        <f t="shared" si="2"/>
        <v>0</v>
      </c>
      <c r="M13" s="35">
        <f t="shared" si="2"/>
        <v>115742.07</v>
      </c>
      <c r="N13" s="35">
        <f t="shared" si="2"/>
        <v>1375771.72</v>
      </c>
    </row>
    <row r="14" spans="1:14" s="4" customFormat="1">
      <c r="A14" s="36">
        <v>11</v>
      </c>
      <c r="B14" s="33" t="s">
        <v>21</v>
      </c>
      <c r="C14" s="34" t="s">
        <v>22</v>
      </c>
      <c r="D14" s="35">
        <f>D16+D21+D22+D26</f>
        <v>28691651.530000001</v>
      </c>
      <c r="E14" s="35">
        <f t="shared" ref="E14:N14" si="3">E16+E21+E22+E26</f>
        <v>26739506.619999997</v>
      </c>
      <c r="F14" s="35">
        <f t="shared" si="3"/>
        <v>1952144.91</v>
      </c>
      <c r="G14" s="35">
        <f t="shared" si="3"/>
        <v>25360318.560000002</v>
      </c>
      <c r="H14" s="35">
        <f t="shared" si="3"/>
        <v>1379188.0599999996</v>
      </c>
      <c r="I14" s="35">
        <f t="shared" si="3"/>
        <v>2209330.2599999998</v>
      </c>
      <c r="J14" s="35">
        <f t="shared" si="3"/>
        <v>7516717.8399999999</v>
      </c>
      <c r="K14" s="35">
        <f t="shared" si="3"/>
        <v>1493410.8200000003</v>
      </c>
      <c r="L14" s="35">
        <f t="shared" si="3"/>
        <v>0</v>
      </c>
      <c r="M14" s="35">
        <f t="shared" si="3"/>
        <v>11930232.26</v>
      </c>
      <c r="N14" s="35">
        <f t="shared" si="3"/>
        <v>20940360.920000002</v>
      </c>
    </row>
    <row r="15" spans="1:14" s="4" customFormat="1">
      <c r="A15" s="23">
        <v>12</v>
      </c>
      <c r="B15" s="15" t="s">
        <v>23</v>
      </c>
      <c r="C15" s="24" t="s">
        <v>24</v>
      </c>
      <c r="D15" s="2">
        <v>979395.92</v>
      </c>
      <c r="E15" s="2">
        <f t="shared" ref="E15:E20" si="4">D15-F15</f>
        <v>305776.42000000004</v>
      </c>
      <c r="F15" s="2">
        <v>673619.5</v>
      </c>
      <c r="G15" s="2">
        <f>E15-H15</f>
        <v>337315.02</v>
      </c>
      <c r="H15" s="2">
        <v>-31538.6</v>
      </c>
      <c r="I15" s="51">
        <v>226761</v>
      </c>
      <c r="J15" s="53">
        <v>0</v>
      </c>
      <c r="K15" s="53">
        <v>0</v>
      </c>
      <c r="L15" s="53">
        <v>0</v>
      </c>
      <c r="M15" s="58">
        <f>306317.72-541.3</f>
        <v>305776.42</v>
      </c>
      <c r="N15" s="2">
        <f t="shared" ref="N15:N22" si="5">J15+K15+L15+M15</f>
        <v>305776.42</v>
      </c>
    </row>
    <row r="16" spans="1:14" s="4" customFormat="1">
      <c r="A16" s="36">
        <v>13</v>
      </c>
      <c r="B16" s="33" t="s">
        <v>25</v>
      </c>
      <c r="C16" s="34" t="s">
        <v>26</v>
      </c>
      <c r="D16" s="35">
        <f t="shared" ref="D16:N16" si="6">D15</f>
        <v>979395.92</v>
      </c>
      <c r="E16" s="35">
        <f t="shared" si="6"/>
        <v>305776.42000000004</v>
      </c>
      <c r="F16" s="35">
        <f t="shared" si="6"/>
        <v>673619.5</v>
      </c>
      <c r="G16" s="35">
        <f t="shared" si="6"/>
        <v>337315.02</v>
      </c>
      <c r="H16" s="35">
        <f t="shared" si="6"/>
        <v>-31538.6</v>
      </c>
      <c r="I16" s="35">
        <f>I15</f>
        <v>226761</v>
      </c>
      <c r="J16" s="35">
        <f>J15</f>
        <v>0</v>
      </c>
      <c r="K16" s="35">
        <f>K15</f>
        <v>0</v>
      </c>
      <c r="L16" s="35">
        <f t="shared" si="6"/>
        <v>0</v>
      </c>
      <c r="M16" s="35">
        <f t="shared" si="6"/>
        <v>305776.42</v>
      </c>
      <c r="N16" s="35">
        <f t="shared" si="6"/>
        <v>305776.42</v>
      </c>
    </row>
    <row r="17" spans="1:14" s="4" customFormat="1">
      <c r="A17" s="23">
        <v>14</v>
      </c>
      <c r="B17" s="15" t="s">
        <v>27</v>
      </c>
      <c r="C17" s="24" t="s">
        <v>28</v>
      </c>
      <c r="D17" s="2">
        <v>1943545.55</v>
      </c>
      <c r="E17" s="2">
        <f t="shared" si="4"/>
        <v>1943545.55</v>
      </c>
      <c r="F17" s="2">
        <v>0</v>
      </c>
      <c r="G17" s="2">
        <f>E17-H17</f>
        <v>1814782.19</v>
      </c>
      <c r="H17" s="2">
        <v>128763.36</v>
      </c>
      <c r="I17" s="51">
        <v>397631.88</v>
      </c>
      <c r="J17" s="53">
        <v>0</v>
      </c>
      <c r="K17" s="53">
        <v>0</v>
      </c>
      <c r="L17" s="53">
        <v>0</v>
      </c>
      <c r="M17" s="55">
        <v>1402474.35</v>
      </c>
      <c r="N17" s="2">
        <f t="shared" si="5"/>
        <v>1402474.35</v>
      </c>
    </row>
    <row r="18" spans="1:14" s="4" customFormat="1">
      <c r="A18" s="23">
        <v>15</v>
      </c>
      <c r="B18" s="13" t="s">
        <v>29</v>
      </c>
      <c r="C18" s="24" t="s">
        <v>30</v>
      </c>
      <c r="D18" s="2">
        <v>451371.47</v>
      </c>
      <c r="E18" s="2">
        <f t="shared" si="4"/>
        <v>451371.47</v>
      </c>
      <c r="F18" s="2">
        <v>0</v>
      </c>
      <c r="G18" s="2">
        <f>E18-H18</f>
        <v>461829.43</v>
      </c>
      <c r="H18" s="2">
        <v>-10457.959999999999</v>
      </c>
      <c r="I18" s="51">
        <v>0</v>
      </c>
      <c r="J18" s="53">
        <v>0</v>
      </c>
      <c r="K18" s="53">
        <v>0</v>
      </c>
      <c r="L18" s="53">
        <v>0</v>
      </c>
      <c r="M18" s="53">
        <v>343101.06</v>
      </c>
      <c r="N18" s="2">
        <f t="shared" si="5"/>
        <v>343101.06</v>
      </c>
    </row>
    <row r="19" spans="1:14" s="4" customFormat="1">
      <c r="A19" s="23">
        <v>16</v>
      </c>
      <c r="B19" s="15" t="s">
        <v>31</v>
      </c>
      <c r="C19" s="25" t="s">
        <v>32</v>
      </c>
      <c r="D19" s="2">
        <v>12775056.810000001</v>
      </c>
      <c r="E19" s="2">
        <f t="shared" si="4"/>
        <v>12758082.91</v>
      </c>
      <c r="F19" s="3">
        <v>16973.900000000001</v>
      </c>
      <c r="G19" s="2">
        <f>E19-H19</f>
        <v>11639607.030000001</v>
      </c>
      <c r="H19" s="3">
        <v>1118475.8799999999</v>
      </c>
      <c r="I19" s="51">
        <v>1244244.69</v>
      </c>
      <c r="J19" s="51">
        <v>1836264.96</v>
      </c>
      <c r="K19" s="51">
        <v>1362611.57</v>
      </c>
      <c r="L19" s="51">
        <v>0</v>
      </c>
      <c r="M19" s="51">
        <v>9340359.5399999991</v>
      </c>
      <c r="N19" s="2">
        <f t="shared" si="5"/>
        <v>12539236.07</v>
      </c>
    </row>
    <row r="20" spans="1:14" s="4" customFormat="1">
      <c r="A20" s="23">
        <v>17</v>
      </c>
      <c r="B20" s="15" t="s">
        <v>33</v>
      </c>
      <c r="C20" s="25" t="s">
        <v>86</v>
      </c>
      <c r="D20" s="2">
        <v>157990.97</v>
      </c>
      <c r="E20" s="2">
        <f t="shared" si="4"/>
        <v>157990.97</v>
      </c>
      <c r="F20" s="10">
        <v>0</v>
      </c>
      <c r="G20" s="2">
        <f>E20-H20</f>
        <v>157990.97</v>
      </c>
      <c r="H20" s="10">
        <v>0</v>
      </c>
      <c r="I20" s="59">
        <v>43688.37</v>
      </c>
      <c r="J20" s="56">
        <v>27791.9</v>
      </c>
      <c r="K20" s="56">
        <v>27012.37</v>
      </c>
      <c r="L20" s="56">
        <v>0</v>
      </c>
      <c r="M20" s="56">
        <v>80467.13</v>
      </c>
      <c r="N20" s="2">
        <f t="shared" si="5"/>
        <v>135271.40000000002</v>
      </c>
    </row>
    <row r="21" spans="1:14" s="4" customFormat="1">
      <c r="A21" s="36">
        <v>18</v>
      </c>
      <c r="B21" s="33" t="s">
        <v>34</v>
      </c>
      <c r="C21" s="34" t="s">
        <v>35</v>
      </c>
      <c r="D21" s="35">
        <f>SUM(D17:D20)</f>
        <v>15327964.800000001</v>
      </c>
      <c r="E21" s="35">
        <f t="shared" ref="E21:N21" si="7">SUM(E17:E20)</f>
        <v>15310990.9</v>
      </c>
      <c r="F21" s="35">
        <f t="shared" si="7"/>
        <v>16973.900000000001</v>
      </c>
      <c r="G21" s="35">
        <f t="shared" si="7"/>
        <v>14074209.620000003</v>
      </c>
      <c r="H21" s="35">
        <f t="shared" si="7"/>
        <v>1236781.2799999998</v>
      </c>
      <c r="I21" s="35">
        <f>SUM(I17:I20)</f>
        <v>1685564.94</v>
      </c>
      <c r="J21" s="35">
        <f t="shared" si="7"/>
        <v>1864056.8599999999</v>
      </c>
      <c r="K21" s="35">
        <f t="shared" si="7"/>
        <v>1389623.9400000002</v>
      </c>
      <c r="L21" s="35">
        <f t="shared" si="7"/>
        <v>0</v>
      </c>
      <c r="M21" s="35">
        <f t="shared" si="7"/>
        <v>11166402.08</v>
      </c>
      <c r="N21" s="35">
        <f t="shared" si="7"/>
        <v>14420082.880000001</v>
      </c>
    </row>
    <row r="22" spans="1:14" s="7" customFormat="1" ht="30.75" customHeight="1">
      <c r="A22" s="26" t="s">
        <v>119</v>
      </c>
      <c r="B22" s="30" t="s">
        <v>36</v>
      </c>
      <c r="C22" s="28" t="s">
        <v>37</v>
      </c>
      <c r="D22" s="29">
        <v>11592601.4</v>
      </c>
      <c r="E22" s="29">
        <f t="shared" ref="E22:E25" si="8">D22-F22</f>
        <v>10342601.4</v>
      </c>
      <c r="F22" s="29">
        <v>1250000</v>
      </c>
      <c r="G22" s="31">
        <f t="shared" ref="G22:G24" si="9">E22-H22</f>
        <v>10342601.4</v>
      </c>
      <c r="H22" s="29">
        <v>0</v>
      </c>
      <c r="I22" s="29">
        <v>0</v>
      </c>
      <c r="J22" s="29">
        <v>5550000</v>
      </c>
      <c r="K22" s="29">
        <v>0</v>
      </c>
      <c r="L22" s="29">
        <v>0</v>
      </c>
      <c r="M22" s="29">
        <f>59813.51</f>
        <v>59813.51</v>
      </c>
      <c r="N22" s="31">
        <f t="shared" si="5"/>
        <v>5609813.5099999998</v>
      </c>
    </row>
    <row r="23" spans="1:14" s="4" customFormat="1">
      <c r="A23" s="23">
        <v>20</v>
      </c>
      <c r="B23" s="12" t="s">
        <v>38</v>
      </c>
      <c r="C23" s="24" t="s">
        <v>94</v>
      </c>
      <c r="D23" s="2">
        <v>737360.47</v>
      </c>
      <c r="E23" s="2">
        <f t="shared" si="8"/>
        <v>730724.16999999993</v>
      </c>
      <c r="F23" s="2">
        <v>6636.3</v>
      </c>
      <c r="G23" s="2">
        <f t="shared" si="9"/>
        <v>564006.50999999989</v>
      </c>
      <c r="H23" s="2">
        <v>166717.66</v>
      </c>
      <c r="I23" s="51">
        <v>284730.03999999998</v>
      </c>
      <c r="J23" s="53">
        <v>102660.98</v>
      </c>
      <c r="K23" s="53">
        <v>103786.88</v>
      </c>
      <c r="L23" s="53">
        <v>0</v>
      </c>
      <c r="M23" s="53">
        <v>348826.52</v>
      </c>
      <c r="N23" s="2">
        <f>J23+K23+L23+M23</f>
        <v>555274.38</v>
      </c>
    </row>
    <row r="24" spans="1:14" s="4" customFormat="1">
      <c r="A24" s="23">
        <v>21</v>
      </c>
      <c r="B24" s="12" t="s">
        <v>39</v>
      </c>
      <c r="C24" s="25" t="s">
        <v>40</v>
      </c>
      <c r="D24" s="2">
        <v>49413.73</v>
      </c>
      <c r="E24" s="2">
        <f t="shared" si="8"/>
        <v>49413.73</v>
      </c>
      <c r="F24" s="10">
        <v>0</v>
      </c>
      <c r="G24" s="2">
        <f t="shared" si="9"/>
        <v>42186.01</v>
      </c>
      <c r="H24" s="10">
        <v>7227.72</v>
      </c>
      <c r="I24" s="56">
        <v>12274.28</v>
      </c>
      <c r="J24" s="57">
        <v>0</v>
      </c>
      <c r="K24" s="57">
        <v>0</v>
      </c>
      <c r="L24" s="57">
        <v>0</v>
      </c>
      <c r="M24" s="57">
        <v>49413.73</v>
      </c>
      <c r="N24" s="2">
        <f>J24+K24+L24+M24</f>
        <v>49413.73</v>
      </c>
    </row>
    <row r="25" spans="1:14" s="4" customFormat="1" ht="25.5">
      <c r="A25" s="23">
        <v>22</v>
      </c>
      <c r="B25" s="12" t="s">
        <v>108</v>
      </c>
      <c r="C25" s="25" t="s">
        <v>109</v>
      </c>
      <c r="D25" s="2">
        <v>4915.21</v>
      </c>
      <c r="E25" s="2">
        <f t="shared" si="8"/>
        <v>0</v>
      </c>
      <c r="F25" s="10">
        <v>4915.21</v>
      </c>
      <c r="G25" s="2">
        <v>0</v>
      </c>
      <c r="H25" s="10">
        <v>0</v>
      </c>
      <c r="I25" s="56">
        <v>0</v>
      </c>
      <c r="J25" s="57">
        <v>0</v>
      </c>
      <c r="K25" s="57">
        <v>0</v>
      </c>
      <c r="L25" s="57">
        <v>0</v>
      </c>
      <c r="M25" s="57">
        <v>0</v>
      </c>
      <c r="N25" s="2">
        <f>J25+K25+L25+M25</f>
        <v>0</v>
      </c>
    </row>
    <row r="26" spans="1:14" s="6" customFormat="1" ht="25.5">
      <c r="A26" s="36">
        <v>23</v>
      </c>
      <c r="B26" s="37" t="s">
        <v>41</v>
      </c>
      <c r="C26" s="34" t="s">
        <v>42</v>
      </c>
      <c r="D26" s="38">
        <f>SUM(D23:D25)</f>
        <v>791689.40999999992</v>
      </c>
      <c r="E26" s="38">
        <f t="shared" ref="E26:H26" si="10">SUM(E23:E25)</f>
        <v>780137.89999999991</v>
      </c>
      <c r="F26" s="38">
        <f t="shared" si="10"/>
        <v>11551.51</v>
      </c>
      <c r="G26" s="38">
        <f t="shared" si="10"/>
        <v>606192.5199999999</v>
      </c>
      <c r="H26" s="38">
        <f t="shared" si="10"/>
        <v>173945.38</v>
      </c>
      <c r="I26" s="38">
        <f>SUM(I23:I25)</f>
        <v>297004.32</v>
      </c>
      <c r="J26" s="38">
        <f t="shared" ref="J26:N26" si="11">SUM(J23:J25)</f>
        <v>102660.98</v>
      </c>
      <c r="K26" s="38">
        <f t="shared" si="11"/>
        <v>103786.88</v>
      </c>
      <c r="L26" s="38">
        <f t="shared" si="11"/>
        <v>0</v>
      </c>
      <c r="M26" s="38">
        <f t="shared" si="11"/>
        <v>398240.25</v>
      </c>
      <c r="N26" s="38">
        <f t="shared" si="11"/>
        <v>604688.11</v>
      </c>
    </row>
    <row r="27" spans="1:14" s="5" customFormat="1" ht="30.75" customHeight="1">
      <c r="A27" s="39">
        <v>24</v>
      </c>
      <c r="B27" s="30" t="s">
        <v>43</v>
      </c>
      <c r="C27" s="28" t="s">
        <v>44</v>
      </c>
      <c r="D27" s="40">
        <f>D13+D14</f>
        <v>30507949.700000003</v>
      </c>
      <c r="E27" s="40">
        <f>E13+E14</f>
        <v>28555804.789999999</v>
      </c>
      <c r="F27" s="40">
        <f>F13+F14</f>
        <v>1952144.91</v>
      </c>
      <c r="G27" s="40">
        <f t="shared" ref="G27:N27" si="12">G13+G14</f>
        <v>27061917.010000002</v>
      </c>
      <c r="H27" s="40">
        <f t="shared" si="12"/>
        <v>1493887.7799999996</v>
      </c>
      <c r="I27" s="40">
        <f t="shared" si="12"/>
        <v>2209330.2599999998</v>
      </c>
      <c r="J27" s="40">
        <f t="shared" si="12"/>
        <v>8776747.4900000002</v>
      </c>
      <c r="K27" s="40">
        <f t="shared" si="12"/>
        <v>1493410.8200000003</v>
      </c>
      <c r="L27" s="40">
        <f>L13+L14</f>
        <v>0</v>
      </c>
      <c r="M27" s="40">
        <f t="shared" si="12"/>
        <v>12045974.33</v>
      </c>
      <c r="N27" s="40">
        <f t="shared" si="12"/>
        <v>22316132.640000001</v>
      </c>
    </row>
    <row r="28" spans="1:14" s="4" customFormat="1">
      <c r="A28" s="23">
        <v>25</v>
      </c>
      <c r="B28" s="12" t="s">
        <v>45</v>
      </c>
      <c r="C28" s="41" t="s">
        <v>46</v>
      </c>
      <c r="D28" s="2">
        <v>4184147.6</v>
      </c>
      <c r="E28" s="2">
        <f>D28-F28</f>
        <v>0</v>
      </c>
      <c r="F28" s="2">
        <f>D28</f>
        <v>4184147.6</v>
      </c>
      <c r="G28" s="2">
        <v>0</v>
      </c>
      <c r="H28" s="2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2">
        <f t="shared" ref="N28:N34" si="13">J28+K28+L28+M28</f>
        <v>0</v>
      </c>
    </row>
    <row r="29" spans="1:14" s="4" customFormat="1" ht="25.5">
      <c r="A29" s="23">
        <v>26</v>
      </c>
      <c r="B29" s="12" t="s">
        <v>47</v>
      </c>
      <c r="C29" s="41" t="s">
        <v>82</v>
      </c>
      <c r="D29" s="2">
        <v>2152980.2799999998</v>
      </c>
      <c r="E29" s="2">
        <f>D29-F29</f>
        <v>2152980.2799999998</v>
      </c>
      <c r="F29" s="11">
        <v>0</v>
      </c>
      <c r="G29" s="2">
        <f>E29-H29</f>
        <v>1654984.63</v>
      </c>
      <c r="H29" s="11">
        <v>497995.65</v>
      </c>
      <c r="I29" s="56">
        <v>1219360.0900000001</v>
      </c>
      <c r="J29" s="56">
        <v>34685.11</v>
      </c>
      <c r="K29" s="56">
        <v>0</v>
      </c>
      <c r="L29" s="56">
        <v>0</v>
      </c>
      <c r="M29" s="56">
        <v>770645.3</v>
      </c>
      <c r="N29" s="2">
        <f t="shared" si="13"/>
        <v>805330.41</v>
      </c>
    </row>
    <row r="30" spans="1:14" s="4" customFormat="1">
      <c r="A30" s="23">
        <v>27</v>
      </c>
      <c r="B30" s="12" t="s">
        <v>48</v>
      </c>
      <c r="C30" s="41" t="s">
        <v>83</v>
      </c>
      <c r="D30" s="2">
        <v>7259841.8499999996</v>
      </c>
      <c r="E30" s="2">
        <f>D30-F30</f>
        <v>7259841.8499999996</v>
      </c>
      <c r="F30" s="11">
        <v>0</v>
      </c>
      <c r="G30" s="2">
        <f>E30-H30</f>
        <v>6750130.3899999997</v>
      </c>
      <c r="H30" s="11">
        <v>509711.46</v>
      </c>
      <c r="I30" s="56">
        <v>2588890.88</v>
      </c>
      <c r="J30" s="56">
        <v>1759869.99</v>
      </c>
      <c r="K30" s="56">
        <v>1625053.03</v>
      </c>
      <c r="L30" s="56">
        <v>0</v>
      </c>
      <c r="M30" s="56">
        <v>2802090.85</v>
      </c>
      <c r="N30" s="2">
        <f t="shared" si="13"/>
        <v>6187013.8700000001</v>
      </c>
    </row>
    <row r="31" spans="1:14" s="4" customFormat="1">
      <c r="A31" s="36">
        <v>28</v>
      </c>
      <c r="B31" s="37" t="s">
        <v>49</v>
      </c>
      <c r="C31" s="34" t="s">
        <v>50</v>
      </c>
      <c r="D31" s="38">
        <f t="shared" ref="D31:N31" si="14">SUM(D28:D30)</f>
        <v>13596969.73</v>
      </c>
      <c r="E31" s="38">
        <f t="shared" si="14"/>
        <v>9412822.129999999</v>
      </c>
      <c r="F31" s="38">
        <f>SUM(F28:F30)</f>
        <v>4184147.6</v>
      </c>
      <c r="G31" s="38">
        <f>SUM(G28:G30)</f>
        <v>8405115.0199999996</v>
      </c>
      <c r="H31" s="38">
        <f>SUM(H28:H30)</f>
        <v>1007707.1100000001</v>
      </c>
      <c r="I31" s="38">
        <f t="shared" si="14"/>
        <v>3808250.9699999997</v>
      </c>
      <c r="J31" s="38">
        <f t="shared" si="14"/>
        <v>1794555.1</v>
      </c>
      <c r="K31" s="38">
        <f t="shared" si="14"/>
        <v>1625053.03</v>
      </c>
      <c r="L31" s="38">
        <f t="shared" si="14"/>
        <v>0</v>
      </c>
      <c r="M31" s="38">
        <f t="shared" si="14"/>
        <v>3572736.1500000004</v>
      </c>
      <c r="N31" s="38">
        <f t="shared" si="14"/>
        <v>6992344.2800000003</v>
      </c>
    </row>
    <row r="32" spans="1:14" s="4" customFormat="1">
      <c r="A32" s="23">
        <v>29</v>
      </c>
      <c r="B32" s="12" t="s">
        <v>51</v>
      </c>
      <c r="C32" s="25" t="s">
        <v>84</v>
      </c>
      <c r="D32" s="2">
        <v>589464.98</v>
      </c>
      <c r="E32" s="2">
        <f>D32-F32</f>
        <v>589464.98</v>
      </c>
      <c r="F32" s="2">
        <v>0</v>
      </c>
      <c r="G32" s="2">
        <f>E32-H32</f>
        <v>589464.98</v>
      </c>
      <c r="H32" s="2">
        <v>0</v>
      </c>
      <c r="I32" s="3">
        <v>0</v>
      </c>
      <c r="J32" s="53">
        <v>587677.82999999996</v>
      </c>
      <c r="K32" s="53">
        <v>0</v>
      </c>
      <c r="L32" s="53">
        <v>0</v>
      </c>
      <c r="M32" s="53">
        <v>1787.15</v>
      </c>
      <c r="N32" s="2">
        <f t="shared" si="13"/>
        <v>589464.98</v>
      </c>
    </row>
    <row r="33" spans="1:14" s="4" customFormat="1">
      <c r="A33" s="23">
        <v>30</v>
      </c>
      <c r="B33" s="12" t="s">
        <v>52</v>
      </c>
      <c r="C33" s="24" t="s">
        <v>53</v>
      </c>
      <c r="D33" s="2">
        <v>44172047.909999996</v>
      </c>
      <c r="E33" s="2">
        <f>D33-F33</f>
        <v>44170766.109999999</v>
      </c>
      <c r="F33" s="2">
        <v>1281.8</v>
      </c>
      <c r="G33" s="2">
        <f>E33-H33</f>
        <v>40089482.25</v>
      </c>
      <c r="H33" s="2">
        <v>4081283.86</v>
      </c>
      <c r="I33" s="60">
        <f>9043519.32+2826519.88+147940.92</f>
        <v>12017980.119999999</v>
      </c>
      <c r="J33" s="53">
        <v>14481551.779999999</v>
      </c>
      <c r="K33" s="53">
        <v>6044579.1500000004</v>
      </c>
      <c r="L33" s="53">
        <v>0</v>
      </c>
      <c r="M33" s="53">
        <v>5690967.5700000003</v>
      </c>
      <c r="N33" s="2">
        <f t="shared" si="13"/>
        <v>26217098.5</v>
      </c>
    </row>
    <row r="34" spans="1:14" s="4" customFormat="1">
      <c r="A34" s="23">
        <v>31</v>
      </c>
      <c r="B34" s="12" t="s">
        <v>54</v>
      </c>
      <c r="C34" s="24" t="s">
        <v>55</v>
      </c>
      <c r="D34" s="2">
        <v>5947442.3600000003</v>
      </c>
      <c r="E34" s="2">
        <f>D34-F34</f>
        <v>5947442.3600000003</v>
      </c>
      <c r="F34" s="2">
        <v>0</v>
      </c>
      <c r="G34" s="2">
        <f>E34-H34</f>
        <v>5601298.4500000002</v>
      </c>
      <c r="H34" s="2">
        <v>346143.91</v>
      </c>
      <c r="I34" s="51">
        <v>3453578.14</v>
      </c>
      <c r="J34" s="53">
        <v>1127881.48</v>
      </c>
      <c r="K34" s="53">
        <v>0</v>
      </c>
      <c r="L34" s="53">
        <v>0</v>
      </c>
      <c r="M34" s="53">
        <v>4484540.82</v>
      </c>
      <c r="N34" s="2">
        <f t="shared" si="13"/>
        <v>5612422.3000000007</v>
      </c>
    </row>
    <row r="35" spans="1:14" s="6" customFormat="1">
      <c r="A35" s="36">
        <v>32</v>
      </c>
      <c r="B35" s="37" t="s">
        <v>56</v>
      </c>
      <c r="C35" s="42" t="s">
        <v>57</v>
      </c>
      <c r="D35" s="43">
        <f t="shared" ref="D35:N35" si="15">SUM(D32:D34)</f>
        <v>50708955.249999993</v>
      </c>
      <c r="E35" s="43">
        <f t="shared" si="15"/>
        <v>50707673.449999996</v>
      </c>
      <c r="F35" s="43">
        <f t="shared" si="15"/>
        <v>1281.8</v>
      </c>
      <c r="G35" s="43">
        <f t="shared" si="15"/>
        <v>46280245.68</v>
      </c>
      <c r="H35" s="43">
        <f t="shared" si="15"/>
        <v>4427427.7699999996</v>
      </c>
      <c r="I35" s="43">
        <f t="shared" si="15"/>
        <v>15471558.26</v>
      </c>
      <c r="J35" s="43">
        <f t="shared" si="15"/>
        <v>16197111.09</v>
      </c>
      <c r="K35" s="43">
        <f t="shared" si="15"/>
        <v>6044579.1500000004</v>
      </c>
      <c r="L35" s="43">
        <f t="shared" si="15"/>
        <v>0</v>
      </c>
      <c r="M35" s="43">
        <f t="shared" si="15"/>
        <v>10177295.540000001</v>
      </c>
      <c r="N35" s="43">
        <f t="shared" si="15"/>
        <v>32418985.780000001</v>
      </c>
    </row>
    <row r="36" spans="1:14" s="5" customFormat="1" ht="30.75" customHeight="1">
      <c r="A36" s="39">
        <v>33</v>
      </c>
      <c r="B36" s="30" t="s">
        <v>58</v>
      </c>
      <c r="C36" s="28" t="s">
        <v>59</v>
      </c>
      <c r="D36" s="31">
        <f>D31+D35</f>
        <v>64305924.979999989</v>
      </c>
      <c r="E36" s="31">
        <f t="shared" ref="E36:N36" si="16">E31+E35</f>
        <v>60120495.579999998</v>
      </c>
      <c r="F36" s="31">
        <f t="shared" si="16"/>
        <v>4185429.4</v>
      </c>
      <c r="G36" s="31">
        <f t="shared" si="16"/>
        <v>54685360.700000003</v>
      </c>
      <c r="H36" s="31">
        <f t="shared" si="16"/>
        <v>5435134.8799999999</v>
      </c>
      <c r="I36" s="31">
        <f>I31+I35</f>
        <v>19279809.23</v>
      </c>
      <c r="J36" s="31">
        <f t="shared" si="16"/>
        <v>17991666.190000001</v>
      </c>
      <c r="K36" s="31">
        <f t="shared" si="16"/>
        <v>7669632.1800000006</v>
      </c>
      <c r="L36" s="31">
        <f>L31+L35</f>
        <v>0</v>
      </c>
      <c r="M36" s="31">
        <f t="shared" si="16"/>
        <v>13750031.690000001</v>
      </c>
      <c r="N36" s="31">
        <f t="shared" si="16"/>
        <v>39411330.060000002</v>
      </c>
    </row>
    <row r="37" spans="1:14" s="4" customFormat="1">
      <c r="A37" s="23">
        <v>34</v>
      </c>
      <c r="B37" s="12" t="s">
        <v>60</v>
      </c>
      <c r="C37" s="25" t="s">
        <v>61</v>
      </c>
      <c r="D37" s="2">
        <v>7699867.1100000003</v>
      </c>
      <c r="E37" s="2">
        <f t="shared" ref="E37:E41" si="17">D37-F37</f>
        <v>7699867.1100000003</v>
      </c>
      <c r="F37" s="3">
        <v>0</v>
      </c>
      <c r="G37" s="2">
        <f t="shared" ref="G37:G41" si="18">E37-H37</f>
        <v>7107255.6600000001</v>
      </c>
      <c r="H37" s="3">
        <v>592611.44999999995</v>
      </c>
      <c r="I37" s="3">
        <v>0</v>
      </c>
      <c r="J37" s="3">
        <v>0</v>
      </c>
      <c r="K37" s="3">
        <v>0</v>
      </c>
      <c r="L37" s="3">
        <v>0</v>
      </c>
      <c r="M37" s="3">
        <v>1561094.43</v>
      </c>
      <c r="N37" s="2">
        <f t="shared" ref="N37:N41" si="19">J37+K37+L37+M37</f>
        <v>1561094.43</v>
      </c>
    </row>
    <row r="38" spans="1:14" s="4" customFormat="1">
      <c r="A38" s="23">
        <v>35</v>
      </c>
      <c r="B38" s="12" t="s">
        <v>62</v>
      </c>
      <c r="C38" s="25" t="s">
        <v>85</v>
      </c>
      <c r="D38" s="2">
        <v>203762.1</v>
      </c>
      <c r="E38" s="2">
        <f t="shared" si="17"/>
        <v>203762.1</v>
      </c>
      <c r="F38" s="3">
        <v>0</v>
      </c>
      <c r="G38" s="2">
        <f t="shared" si="18"/>
        <v>203762.1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203762.1</v>
      </c>
      <c r="N38" s="2">
        <f t="shared" si="19"/>
        <v>203762.1</v>
      </c>
    </row>
    <row r="39" spans="1:14" s="4" customFormat="1">
      <c r="A39" s="23">
        <v>36</v>
      </c>
      <c r="B39" s="12" t="s">
        <v>96</v>
      </c>
      <c r="C39" s="25" t="s">
        <v>97</v>
      </c>
      <c r="D39" s="2">
        <v>222666.21</v>
      </c>
      <c r="E39" s="2">
        <f t="shared" si="17"/>
        <v>222666.21</v>
      </c>
      <c r="F39" s="3">
        <v>0</v>
      </c>
      <c r="G39" s="2">
        <f t="shared" si="18"/>
        <v>222666.21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2">
        <f t="shared" si="19"/>
        <v>0</v>
      </c>
    </row>
    <row r="40" spans="1:14" s="4" customFormat="1">
      <c r="A40" s="23">
        <v>37</v>
      </c>
      <c r="B40" s="12" t="s">
        <v>88</v>
      </c>
      <c r="C40" s="25" t="s">
        <v>89</v>
      </c>
      <c r="D40" s="2">
        <v>128865.21</v>
      </c>
      <c r="E40" s="2">
        <f t="shared" si="17"/>
        <v>128865.21</v>
      </c>
      <c r="F40" s="3">
        <v>0</v>
      </c>
      <c r="G40" s="2">
        <f t="shared" si="18"/>
        <v>125354.16</v>
      </c>
      <c r="H40" s="3">
        <v>3511.05</v>
      </c>
      <c r="I40" s="3">
        <v>0</v>
      </c>
      <c r="J40" s="3">
        <v>0</v>
      </c>
      <c r="K40" s="3">
        <v>0</v>
      </c>
      <c r="L40" s="3">
        <v>0</v>
      </c>
      <c r="M40" s="3">
        <v>128865.21</v>
      </c>
      <c r="N40" s="2">
        <f t="shared" si="19"/>
        <v>128865.21</v>
      </c>
    </row>
    <row r="41" spans="1:14" s="4" customFormat="1">
      <c r="A41" s="23">
        <v>38</v>
      </c>
      <c r="B41" s="12" t="s">
        <v>90</v>
      </c>
      <c r="C41" s="25" t="s">
        <v>91</v>
      </c>
      <c r="D41" s="2">
        <v>158997.98000000001</v>
      </c>
      <c r="E41" s="2">
        <f t="shared" si="17"/>
        <v>158997.98000000001</v>
      </c>
      <c r="F41" s="3">
        <v>0</v>
      </c>
      <c r="G41" s="2">
        <f t="shared" si="18"/>
        <v>158997.98000000001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158997.98000000001</v>
      </c>
      <c r="N41" s="2">
        <f t="shared" si="19"/>
        <v>158997.98000000001</v>
      </c>
    </row>
    <row r="42" spans="1:14" s="5" customFormat="1" ht="30.75" customHeight="1">
      <c r="A42" s="39">
        <v>39</v>
      </c>
      <c r="B42" s="30" t="s">
        <v>63</v>
      </c>
      <c r="C42" s="28" t="s">
        <v>64</v>
      </c>
      <c r="D42" s="31">
        <f t="shared" ref="D42:N42" si="20">SUM(D37:D41)</f>
        <v>8414158.6099999994</v>
      </c>
      <c r="E42" s="31">
        <f t="shared" si="20"/>
        <v>8414158.6099999994</v>
      </c>
      <c r="F42" s="31">
        <f t="shared" si="20"/>
        <v>0</v>
      </c>
      <c r="G42" s="31">
        <f t="shared" si="20"/>
        <v>7818036.1100000003</v>
      </c>
      <c r="H42" s="31">
        <f t="shared" si="20"/>
        <v>596122.5</v>
      </c>
      <c r="I42" s="31">
        <f t="shared" si="20"/>
        <v>0</v>
      </c>
      <c r="J42" s="31">
        <f t="shared" si="20"/>
        <v>0</v>
      </c>
      <c r="K42" s="31">
        <f t="shared" si="20"/>
        <v>0</v>
      </c>
      <c r="L42" s="31">
        <f t="shared" si="20"/>
        <v>0</v>
      </c>
      <c r="M42" s="31">
        <f t="shared" si="20"/>
        <v>2052719.72</v>
      </c>
      <c r="N42" s="31">
        <f t="shared" si="20"/>
        <v>2052719.72</v>
      </c>
    </row>
    <row r="43" spans="1:14" s="5" customFormat="1" ht="30.75" customHeight="1">
      <c r="A43" s="39">
        <v>40</v>
      </c>
      <c r="B43" s="30" t="s">
        <v>65</v>
      </c>
      <c r="C43" s="28" t="s">
        <v>66</v>
      </c>
      <c r="D43" s="31">
        <f t="shared" ref="D43:N43" si="21">D9+D27+D36+D42</f>
        <v>108663578.61999999</v>
      </c>
      <c r="E43" s="31">
        <f t="shared" si="21"/>
        <v>102496913.95</v>
      </c>
      <c r="F43" s="31">
        <f t="shared" si="21"/>
        <v>6166664.6699999999</v>
      </c>
      <c r="G43" s="31">
        <f t="shared" si="21"/>
        <v>94408490.829999998</v>
      </c>
      <c r="H43" s="31">
        <f t="shared" si="21"/>
        <v>8088423.1199999992</v>
      </c>
      <c r="I43" s="31">
        <f t="shared" si="21"/>
        <v>22644557.240000002</v>
      </c>
      <c r="J43" s="31">
        <f t="shared" si="21"/>
        <v>26903566.700000003</v>
      </c>
      <c r="K43" s="31">
        <f t="shared" si="21"/>
        <v>9215503.25</v>
      </c>
      <c r="L43" s="31">
        <f t="shared" si="21"/>
        <v>0</v>
      </c>
      <c r="M43" s="31">
        <f t="shared" si="21"/>
        <v>28849362.670000002</v>
      </c>
      <c r="N43" s="31">
        <f t="shared" si="21"/>
        <v>64968432.620000005</v>
      </c>
    </row>
    <row r="44" spans="1:14" s="4" customFormat="1" ht="63.75">
      <c r="A44" s="23">
        <v>41</v>
      </c>
      <c r="B44" s="12" t="s">
        <v>67</v>
      </c>
      <c r="C44" s="24" t="s">
        <v>68</v>
      </c>
      <c r="D44" s="2">
        <v>3159037.4</v>
      </c>
      <c r="E44" s="2">
        <f>D44-F44</f>
        <v>3159037.4</v>
      </c>
      <c r="F44" s="11">
        <v>0</v>
      </c>
      <c r="G44" s="2">
        <f>E44-H44</f>
        <v>2394609.5499999998</v>
      </c>
      <c r="H44" s="10">
        <v>764427.85</v>
      </c>
      <c r="I44" s="56">
        <f>183427.99+292231.19</f>
        <v>475659.18</v>
      </c>
      <c r="J44" s="57">
        <v>0</v>
      </c>
      <c r="K44" s="57">
        <v>0</v>
      </c>
      <c r="L44" s="57">
        <v>0</v>
      </c>
      <c r="M44" s="57">
        <f>1733445.19+831006.55</f>
        <v>2564451.7400000002</v>
      </c>
      <c r="N44" s="2">
        <f t="shared" ref="N44:N48" si="22">J44+K44+L44+M44</f>
        <v>2564451.7400000002</v>
      </c>
    </row>
    <row r="45" spans="1:14" s="4" customFormat="1">
      <c r="A45" s="23">
        <v>42</v>
      </c>
      <c r="B45" s="12" t="s">
        <v>69</v>
      </c>
      <c r="C45" s="24" t="s">
        <v>70</v>
      </c>
      <c r="D45" s="2">
        <v>991.86</v>
      </c>
      <c r="E45" s="2">
        <f>D45-F45</f>
        <v>991.86</v>
      </c>
      <c r="F45" s="3">
        <v>0</v>
      </c>
      <c r="G45" s="2">
        <f>E45-H45</f>
        <v>991.86</v>
      </c>
      <c r="H45" s="3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2">
        <f t="shared" si="22"/>
        <v>0</v>
      </c>
    </row>
    <row r="46" spans="1:14" s="4" customFormat="1" ht="25.5">
      <c r="A46" s="23">
        <v>43</v>
      </c>
      <c r="B46" s="12" t="s">
        <v>71</v>
      </c>
      <c r="C46" s="44" t="s">
        <v>72</v>
      </c>
      <c r="D46" s="2">
        <v>1434659.68</v>
      </c>
      <c r="E46" s="2">
        <f>D46-F46</f>
        <v>950934.67999999993</v>
      </c>
      <c r="F46" s="2">
        <v>483725</v>
      </c>
      <c r="G46" s="2">
        <f>E46-H46</f>
        <v>360327.85</v>
      </c>
      <c r="H46" s="2">
        <v>590606.82999999996</v>
      </c>
      <c r="I46" s="56">
        <v>0</v>
      </c>
      <c r="J46" s="56">
        <v>0</v>
      </c>
      <c r="K46" s="56">
        <v>0</v>
      </c>
      <c r="L46" s="56">
        <v>0</v>
      </c>
      <c r="M46" s="56">
        <v>950934.68</v>
      </c>
      <c r="N46" s="2">
        <f t="shared" si="22"/>
        <v>950934.68</v>
      </c>
    </row>
    <row r="47" spans="1:14" s="5" customFormat="1" ht="30.75" customHeight="1">
      <c r="A47" s="39">
        <v>44</v>
      </c>
      <c r="B47" s="30" t="s">
        <v>73</v>
      </c>
      <c r="C47" s="28" t="s">
        <v>74</v>
      </c>
      <c r="D47" s="31">
        <f>SUM(D44:D46)</f>
        <v>4594688.9399999995</v>
      </c>
      <c r="E47" s="31">
        <f t="shared" ref="E47:N47" si="23">SUM(E44:E46)</f>
        <v>4110963.9399999995</v>
      </c>
      <c r="F47" s="31">
        <f t="shared" si="23"/>
        <v>483725</v>
      </c>
      <c r="G47" s="31">
        <f t="shared" si="23"/>
        <v>2755929.26</v>
      </c>
      <c r="H47" s="31">
        <f t="shared" si="23"/>
        <v>1355034.68</v>
      </c>
      <c r="I47" s="31">
        <f t="shared" si="23"/>
        <v>475659.18</v>
      </c>
      <c r="J47" s="31">
        <f t="shared" si="23"/>
        <v>0</v>
      </c>
      <c r="K47" s="31">
        <f t="shared" si="23"/>
        <v>0</v>
      </c>
      <c r="L47" s="31">
        <f t="shared" si="23"/>
        <v>0</v>
      </c>
      <c r="M47" s="31">
        <f t="shared" si="23"/>
        <v>3515386.4200000004</v>
      </c>
      <c r="N47" s="31">
        <f t="shared" si="23"/>
        <v>3515386.4200000004</v>
      </c>
    </row>
    <row r="48" spans="1:14" s="4" customFormat="1">
      <c r="A48" s="23">
        <v>45</v>
      </c>
      <c r="B48" s="12" t="s">
        <v>75</v>
      </c>
      <c r="C48" s="25" t="s">
        <v>87</v>
      </c>
      <c r="D48" s="2">
        <v>53803.68</v>
      </c>
      <c r="E48" s="2">
        <f>D48-F48</f>
        <v>0</v>
      </c>
      <c r="F48" s="3">
        <v>53803.68</v>
      </c>
      <c r="G48" s="2">
        <f t="shared" ref="G48" si="24">E48-H48</f>
        <v>0</v>
      </c>
      <c r="H48" s="11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2">
        <f t="shared" si="22"/>
        <v>0</v>
      </c>
    </row>
    <row r="49" spans="1:14" s="4" customFormat="1">
      <c r="A49" s="23">
        <v>46</v>
      </c>
      <c r="B49" s="12" t="s">
        <v>76</v>
      </c>
      <c r="C49" s="61" t="s">
        <v>77</v>
      </c>
      <c r="D49" s="2">
        <v>18223.71</v>
      </c>
      <c r="E49" s="2">
        <f t="shared" ref="E49:E52" si="25">D49-F49</f>
        <v>18223.71</v>
      </c>
      <c r="F49" s="3">
        <v>0</v>
      </c>
      <c r="G49" s="2">
        <f>E49-H49</f>
        <v>18223.71</v>
      </c>
      <c r="H49" s="11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2">
        <f t="shared" ref="N49:N52" si="26">J49+K49+L49+M49</f>
        <v>0</v>
      </c>
    </row>
    <row r="50" spans="1:14" s="4" customFormat="1">
      <c r="A50" s="23">
        <v>47</v>
      </c>
      <c r="B50" s="12" t="s">
        <v>110</v>
      </c>
      <c r="C50" s="61" t="s">
        <v>111</v>
      </c>
      <c r="D50" s="2">
        <v>16475.07</v>
      </c>
      <c r="E50" s="2">
        <f t="shared" si="25"/>
        <v>0</v>
      </c>
      <c r="F50" s="3">
        <v>16475.07</v>
      </c>
      <c r="G50" s="2">
        <f t="shared" ref="G50:G52" si="27">E50-H50</f>
        <v>0</v>
      </c>
      <c r="H50" s="11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2">
        <f t="shared" si="26"/>
        <v>0</v>
      </c>
    </row>
    <row r="51" spans="1:14" s="4" customFormat="1" ht="25.5">
      <c r="A51" s="23">
        <v>48</v>
      </c>
      <c r="B51" s="65" t="s">
        <v>112</v>
      </c>
      <c r="C51" s="62" t="s">
        <v>113</v>
      </c>
      <c r="D51" s="2">
        <v>1006.84</v>
      </c>
      <c r="E51" s="2">
        <f t="shared" si="25"/>
        <v>0</v>
      </c>
      <c r="F51" s="3">
        <v>1006.84</v>
      </c>
      <c r="G51" s="2">
        <f t="shared" si="27"/>
        <v>0</v>
      </c>
      <c r="H51" s="11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2">
        <f t="shared" si="26"/>
        <v>0</v>
      </c>
    </row>
    <row r="52" spans="1:14" s="4" customFormat="1" ht="25.5">
      <c r="A52" s="23">
        <v>49</v>
      </c>
      <c r="B52" s="66" t="s">
        <v>114</v>
      </c>
      <c r="C52" s="63" t="s">
        <v>115</v>
      </c>
      <c r="D52" s="2">
        <v>1220.4100000000001</v>
      </c>
      <c r="E52" s="2">
        <f t="shared" si="25"/>
        <v>0</v>
      </c>
      <c r="F52" s="3">
        <v>1220.4100000000001</v>
      </c>
      <c r="G52" s="2">
        <f t="shared" si="27"/>
        <v>0</v>
      </c>
      <c r="H52" s="11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2">
        <f t="shared" si="26"/>
        <v>0</v>
      </c>
    </row>
    <row r="53" spans="1:14" s="9" customFormat="1" ht="42.75" customHeight="1">
      <c r="A53" s="45">
        <v>50</v>
      </c>
      <c r="B53" s="46" t="s">
        <v>95</v>
      </c>
      <c r="C53" s="47" t="s">
        <v>78</v>
      </c>
      <c r="D53" s="48">
        <f t="shared" ref="D53:N53" si="28">SUM(D48:D52)</f>
        <v>90729.709999999992</v>
      </c>
      <c r="E53" s="48">
        <f t="shared" si="28"/>
        <v>18223.71</v>
      </c>
      <c r="F53" s="48">
        <f t="shared" si="28"/>
        <v>72506</v>
      </c>
      <c r="G53" s="48">
        <f t="shared" si="28"/>
        <v>18223.71</v>
      </c>
      <c r="H53" s="48">
        <f t="shared" si="28"/>
        <v>0</v>
      </c>
      <c r="I53" s="48">
        <f t="shared" si="28"/>
        <v>0</v>
      </c>
      <c r="J53" s="48">
        <f t="shared" si="28"/>
        <v>0</v>
      </c>
      <c r="K53" s="48">
        <f t="shared" si="28"/>
        <v>0</v>
      </c>
      <c r="L53" s="48">
        <f t="shared" si="28"/>
        <v>0</v>
      </c>
      <c r="M53" s="48">
        <f t="shared" si="28"/>
        <v>0</v>
      </c>
      <c r="N53" s="48">
        <f t="shared" si="28"/>
        <v>0</v>
      </c>
    </row>
    <row r="54" spans="1:14" s="9" customFormat="1" ht="42.75" customHeight="1">
      <c r="A54" s="45">
        <v>51</v>
      </c>
      <c r="B54" s="46" t="s">
        <v>116</v>
      </c>
      <c r="C54" s="47" t="s">
        <v>117</v>
      </c>
      <c r="D54" s="48">
        <v>8588.48</v>
      </c>
      <c r="E54" s="48">
        <v>8588.48</v>
      </c>
      <c r="F54" s="48">
        <v>0</v>
      </c>
      <c r="G54" s="48">
        <v>8588.48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</row>
    <row r="55" spans="1:14" s="9" customFormat="1" ht="30.75" customHeight="1">
      <c r="A55" s="45"/>
      <c r="B55" s="46"/>
      <c r="C55" s="49" t="s">
        <v>93</v>
      </c>
      <c r="D55" s="50">
        <f>D43+D47+D53+D54</f>
        <v>113357585.74999999</v>
      </c>
      <c r="E55" s="50">
        <f t="shared" ref="E55:N55" si="29">E43+E47+E53+E54</f>
        <v>106634690.08</v>
      </c>
      <c r="F55" s="50">
        <f t="shared" si="29"/>
        <v>6722895.6699999999</v>
      </c>
      <c r="G55" s="50">
        <f>G43+G47+G53+G54</f>
        <v>97191232.280000001</v>
      </c>
      <c r="H55" s="50">
        <f t="shared" si="29"/>
        <v>9443457.7999999989</v>
      </c>
      <c r="I55" s="50">
        <f t="shared" si="29"/>
        <v>23120216.420000002</v>
      </c>
      <c r="J55" s="50">
        <f t="shared" si="29"/>
        <v>26903566.700000003</v>
      </c>
      <c r="K55" s="50">
        <f t="shared" si="29"/>
        <v>9215503.25</v>
      </c>
      <c r="L55" s="50">
        <f t="shared" si="29"/>
        <v>0</v>
      </c>
      <c r="M55" s="50">
        <f t="shared" si="29"/>
        <v>32364749.090000004</v>
      </c>
      <c r="N55" s="50">
        <f t="shared" si="29"/>
        <v>68483819.040000007</v>
      </c>
    </row>
    <row r="56" spans="1:14">
      <c r="D56" s="64"/>
      <c r="E56" s="64"/>
      <c r="F56" s="64"/>
      <c r="G56" s="68"/>
      <c r="H56" s="68"/>
      <c r="I56" s="8"/>
      <c r="J56" s="8"/>
      <c r="K56" s="8"/>
      <c r="L56" s="8"/>
      <c r="M56" s="8"/>
      <c r="N56" s="8"/>
    </row>
    <row r="57" spans="1:14">
      <c r="D57" s="64"/>
      <c r="E57" s="64"/>
      <c r="F57" s="64"/>
      <c r="G57" s="64"/>
      <c r="H57" s="64"/>
      <c r="I57" s="8"/>
      <c r="J57" s="8"/>
      <c r="K57" s="8"/>
      <c r="L57" s="8"/>
      <c r="M57" s="8"/>
      <c r="N57" s="8"/>
    </row>
    <row r="58" spans="1:14">
      <c r="D58" s="64"/>
      <c r="E58" s="64"/>
      <c r="F58" s="64"/>
      <c r="G58" s="64"/>
      <c r="H58" s="64"/>
      <c r="I58" s="8"/>
      <c r="J58" s="8"/>
      <c r="K58" s="8"/>
      <c r="L58" s="8"/>
      <c r="M58" s="8"/>
      <c r="N58" s="8"/>
    </row>
    <row r="59" spans="1:14">
      <c r="M59" s="8"/>
    </row>
  </sheetData>
  <sheetProtection selectLockedCells="1"/>
  <customSheetViews>
    <customSheetView guid="{1C6BE7DE-D2D0-40FF-A180-01CCB7FF2580}" scale="80" showPageBreaks="1" showGridLines="0" printArea="1" hiddenColumns="1" view="pageBreakPreview">
      <pane xSplit="10" ySplit="2" topLeftCell="L3" activePane="bottomRight" state="frozen"/>
      <selection pane="bottomRight" activeCell="N64" sqref="N64"/>
      <pageMargins left="0.35433070866141736" right="0.19685039370078741" top="0.59055118110236227" bottom="0.62992125984251968" header="0.35433070866141736" footer="0.35433070866141736"/>
      <pageSetup paperSize="8" scale="54" firstPageNumber="161" orientation="landscape" useFirstPageNumber="1" r:id="rId1"/>
      <headerFooter alignWithMargins="0"/>
    </customSheetView>
    <customSheetView guid="{39A49891-94B4-414B-A9AD-C01B17B74E79}" showPageBreaks="1" showGridLines="0" printArea="1" hiddenColumns="1" view="pageBreakPreview">
      <pane xSplit="3" ySplit="2" topLeftCell="L3" activePane="bottomRight" state="frozen"/>
      <selection pane="bottomRight" activeCell="O8" sqref="O8"/>
      <pageMargins left="0.35433070866141736" right="0.19685039370078741" top="0.59055118110236227" bottom="0.62992125984251968" header="0.35433070866141736" footer="0.35433070866141736"/>
      <pageSetup paperSize="8" scale="80" firstPageNumber="161" orientation="landscape" useFirstPageNumber="1" r:id="rId2"/>
      <headerFooter alignWithMargins="0"/>
    </customSheetView>
    <customSheetView guid="{B1D981AC-BF34-4C8C-9AD3-B7F961F3C03B}" scale="70" showPageBreaks="1" showGridLines="0" printArea="1" hiddenColumns="1" view="pageBreakPreview">
      <pane xSplit="3" ySplit="2" topLeftCell="D42" activePane="bottomRight" state="frozen"/>
      <selection pane="bottomRight" activeCell="G66" sqref="G66:H66"/>
      <pageMargins left="0.35" right="0.19685039370078741" top="0.61" bottom="0.63" header="0.37" footer="0.34"/>
      <pageSetup paperSize="8" scale="54" firstPageNumber="161" orientation="landscape" useFirstPageNumber="1" r:id="rId3"/>
      <headerFooter alignWithMargins="0"/>
    </customSheetView>
    <customSheetView guid="{1285AB19-9522-4B0A-BEC0-749BF7FEE887}" scale="80" showGridLines="0" printArea="1" hiddenColumns="1">
      <pane ySplit="3" topLeftCell="A5" activePane="bottomLeft" state="frozen"/>
      <selection pane="bottomLeft" activeCell="E25" sqref="A25:E25"/>
      <pageMargins left="0.23622047244094491" right="0.19685039370078741" top="0.27559055118110237" bottom="0.23622047244094491" header="0.39370078740157483" footer="0.39370078740157483"/>
      <pageSetup paperSize="8" scale="85" firstPageNumber="161" orientation="landscape" useFirstPageNumber="1" r:id="rId4"/>
      <headerFooter alignWithMargins="0">
        <oddFooter>&amp;C&amp;12&amp;P</oddFooter>
      </headerFooter>
    </customSheetView>
    <customSheetView guid="{FCC78B18-1C4A-4200-9EB7-014DEC4CEC97}" scale="90" showPageBreaks="1" showGridLines="0" printArea="1" hiddenColumns="1" view="pageBreakPreview">
      <pane ySplit="3" topLeftCell="A55" activePane="bottomLeft" state="frozen"/>
      <selection pane="bottomLeft" activeCell="A65" sqref="A65:XFD65"/>
      <pageMargins left="0.2" right="0.2" top="0.27559055118110237" bottom="0.23622047244094491" header="0.31496062992125984" footer="0.19685039370078741"/>
      <pageSetup paperSize="8" scale="55" firstPageNumber="161" orientation="landscape" useFirstPageNumber="1" r:id="rId5"/>
      <headerFooter alignWithMargins="0">
        <oddFooter>&amp;C&amp;12&amp;P</oddFooter>
      </headerFooter>
    </customSheetView>
    <customSheetView guid="{D11D6AA0-EDFE-4E07-8ADC-865141EACEB2}" showPageBreaks="1" showGridLines="0" printArea="1" hiddenColumns="1" topLeftCell="C1">
      <pane ySplit="3" topLeftCell="A61" activePane="bottomLeft" state="frozen"/>
      <selection pane="bottomLeft" activeCell="M73" sqref="M73"/>
      <rowBreaks count="1" manualBreakCount="1">
        <brk id="49" max="24" man="1"/>
      </rowBreaks>
      <colBreaks count="1" manualBreakCount="1">
        <brk id="24" max="60" man="1"/>
      </colBreaks>
      <pageMargins left="0.23622047244094491" right="0.19685039370078741" top="0.27559055118110237" bottom="0.23622047244094491" header="0.39370078740157483" footer="0.39370078740157483"/>
      <pageSetup paperSize="8" scale="80" firstPageNumber="161" orientation="landscape" useFirstPageNumber="1" r:id="rId6"/>
      <headerFooter alignWithMargins="0">
        <oddFooter>&amp;C&amp;12&amp;P</oddFooter>
      </headerFooter>
    </customSheetView>
    <customSheetView guid="{03445B5C-49D0-440B-BC0D-86CAF9BBA1EB}" showPageBreaks="1" showGridLines="0" printArea="1" hiddenColumns="1">
      <pane xSplit="3" ySplit="2" topLeftCell="K14" activePane="bottomRight" state="frozen"/>
      <selection pane="bottomRight" activeCell="K35" sqref="K35"/>
      <pageMargins left="0.35433070866141736" right="0.19685039370078741" top="0.59055118110236227" bottom="0.62992125984251968" header="0.35433070866141736" footer="0.35433070866141736"/>
      <pageSetup paperSize="8" scale="80" firstPageNumber="161" orientation="landscape" useFirstPageNumber="1" r:id="rId7"/>
      <headerFooter alignWithMargins="0"/>
    </customSheetView>
    <customSheetView guid="{287BB99E-4494-4C80-9BF5-A16ED9F406F9}" scale="70" showPageBreaks="1" showGridLines="0" printArea="1" hiddenColumns="1" view="pageBreakPreview">
      <pane xSplit="3" ySplit="2" topLeftCell="H39" activePane="bottomRight" state="frozen"/>
      <selection pane="bottomRight" activeCell="O62" sqref="O62:P62"/>
      <pageMargins left="0.35433070866141736" right="0.19685039370078741" top="0.59055118110236227" bottom="0.62992125984251968" header="0.35433070866141736" footer="0.35433070866141736"/>
      <pageSetup paperSize="8" scale="80" firstPageNumber="161" orientation="landscape" useFirstPageNumber="1" r:id="rId8"/>
      <headerFooter alignWithMargins="0"/>
    </customSheetView>
    <customSheetView guid="{FF88790F-B3A8-43E0-9E45-6D97494C5053}" scale="80" showPageBreaks="1" showGridLines="0" printArea="1" hiddenColumns="1" topLeftCell="L1">
      <pane ySplit="3" topLeftCell="A4" activePane="bottomLeft" state="frozen"/>
      <selection pane="bottomLeft" activeCell="X14" sqref="X14"/>
      <pageMargins left="0.23622047244094491" right="0.19685039370078741" top="0.27559055118110237" bottom="0.23622047244094491" header="0.39370078740157483" footer="0.39370078740157483"/>
      <pageSetup paperSize="8" scale="85" firstPageNumber="161" orientation="landscape" useFirstPageNumber="1" r:id="rId9"/>
      <headerFooter alignWithMargins="0">
        <oddFooter>&amp;C&amp;12&amp;P</oddFooter>
      </headerFooter>
    </customSheetView>
    <customSheetView guid="{D3A61B8E-B80B-4891-82C2-7853BFCB940C}" scale="80" showPageBreaks="1" showGridLines="0" printArea="1" hiddenColumns="1" view="pageBreakPreview">
      <pane xSplit="10" ySplit="2" topLeftCell="L27" activePane="bottomRight" state="frozen"/>
      <selection pane="bottomRight" activeCell="A38" sqref="A38:X38"/>
      <pageMargins left="0.35433070866141736" right="0.19685039370078741" top="0.59055118110236227" bottom="0.62992125984251968" header="0.35433070866141736" footer="0.35433070866141736"/>
      <pageSetup paperSize="8" scale="54" firstPageNumber="161" orientation="landscape" useFirstPageNumber="1" r:id="rId10"/>
      <headerFooter alignWithMargins="0"/>
    </customSheetView>
  </customSheetViews>
  <mergeCells count="2">
    <mergeCell ref="A1:N1"/>
    <mergeCell ref="G56:H56"/>
  </mergeCells>
  <pageMargins left="0.35433070866141736" right="0.19685039370078741" top="0.59055118110236227" bottom="0.62992125984251968" header="0.35433070866141736" footer="0.35433070866141736"/>
  <pageSetup paperSize="8" scale="85" firstPageNumber="161" orientation="landscape" useFirstPageNumber="1" r:id="rId11"/>
  <headerFooter alignWithMargins="0">
    <oddFooter>&amp;C&amp;12&amp;P</oddFooter>
  </headerFooter>
  <rowBreaks count="1" manualBreakCount="1">
    <brk id="43" max="15" man="1"/>
  </rowBreaks>
  <ignoredErrors>
    <ignoredError sqref="B48" numberStoredAsText="1"/>
  </ignoredErrors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POTRAŽIVANJA </vt:lpstr>
      <vt:lpstr>'POTRAŽIVANJA '!Print_Area</vt:lpstr>
      <vt:lpstr>'POTRAŽIVANJA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Batelić</dc:creator>
  <cp:lastModifiedBy>slicardo</cp:lastModifiedBy>
  <cp:lastPrinted>2022-08-11T11:55:53Z</cp:lastPrinted>
  <dcterms:created xsi:type="dcterms:W3CDTF">2015-04-17T07:43:30Z</dcterms:created>
  <dcterms:modified xsi:type="dcterms:W3CDTF">2022-10-28T09:34:52Z</dcterms:modified>
</cp:coreProperties>
</file>